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Surbhi\Downloads\"/>
    </mc:Choice>
  </mc:AlternateContent>
  <xr:revisionPtr revIDLastSave="0" documentId="13_ncr:1_{EA618877-D15F-406C-9E97-EF0DA3BAD4C4}" xr6:coauthVersionLast="47" xr6:coauthVersionMax="47" xr10:uidLastSave="{00000000-0000-0000-0000-000000000000}"/>
  <bookViews>
    <workbookView xWindow="-108" yWindow="-108" windowWidth="23256" windowHeight="12576" tabRatio="650" xr2:uid="{00000000-000D-0000-FFFF-FFFF00000000}"/>
  </bookViews>
  <sheets>
    <sheet name="PROG REL DEC" sheetId="13" r:id="rId1"/>
    <sheet name="ARYA FFP PROG." sheetId="12" r:id="rId2"/>
  </sheets>
  <definedNames>
    <definedName name="_xlnm.Print_Area" localSheetId="0">'PROG REL DEC'!$A$1:$BG$315</definedName>
    <definedName name="_xlnm.Print_Titles" localSheetId="0">'PROG REL DEC'!$A:$B,'PROG REL DEC'!$1:$6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307" i="13" l="1"/>
  <c r="AX307" i="13"/>
  <c r="AY307" i="13"/>
  <c r="AX305" i="13"/>
  <c r="AY305" i="13"/>
  <c r="AQ275" i="13"/>
  <c r="AX275" i="13"/>
  <c r="AY275" i="13"/>
  <c r="AX271" i="13"/>
  <c r="AX273" i="13" s="1"/>
  <c r="AY271" i="13"/>
  <c r="AY273" i="13" s="1"/>
  <c r="AX267" i="13"/>
  <c r="AY267" i="13"/>
  <c r="AX262" i="13"/>
  <c r="AY262" i="13"/>
  <c r="AX258" i="13"/>
  <c r="AY258" i="13"/>
  <c r="AX255" i="13"/>
  <c r="AY255" i="13"/>
  <c r="AX250" i="13"/>
  <c r="AY250" i="13"/>
  <c r="AX240" i="13"/>
  <c r="AY240" i="13"/>
  <c r="AX237" i="13"/>
  <c r="AY237" i="13"/>
  <c r="AX230" i="13"/>
  <c r="AY230" i="13"/>
  <c r="AW227" i="13"/>
  <c r="AX227" i="13"/>
  <c r="AY227" i="13"/>
  <c r="AX223" i="13"/>
  <c r="AY223" i="13"/>
  <c r="AX219" i="13"/>
  <c r="AY219" i="13"/>
  <c r="AX215" i="13"/>
  <c r="AY215" i="13"/>
  <c r="AX211" i="13"/>
  <c r="AY211" i="13"/>
  <c r="AX207" i="13"/>
  <c r="AY207" i="13"/>
  <c r="AX197" i="13"/>
  <c r="AY197" i="13"/>
  <c r="AX193" i="13"/>
  <c r="AY193" i="13"/>
  <c r="AX189" i="13"/>
  <c r="AY189" i="13"/>
  <c r="AX186" i="13"/>
  <c r="AY186" i="13"/>
  <c r="AX181" i="13"/>
  <c r="AY181" i="13"/>
  <c r="AX176" i="13"/>
  <c r="AY176" i="13"/>
  <c r="AX170" i="13"/>
  <c r="AY170" i="13"/>
  <c r="AX166" i="13"/>
  <c r="AY166" i="13"/>
  <c r="AX162" i="13"/>
  <c r="AY162" i="13"/>
  <c r="AX158" i="13"/>
  <c r="AY158" i="13"/>
  <c r="AX148" i="13"/>
  <c r="AY148" i="13"/>
  <c r="AX144" i="13"/>
  <c r="AY144" i="13"/>
  <c r="AX141" i="13"/>
  <c r="AY141" i="13"/>
  <c r="AX136" i="13"/>
  <c r="AY136" i="13"/>
  <c r="AX127" i="13"/>
  <c r="AY127" i="13"/>
  <c r="AX124" i="13"/>
  <c r="AY124" i="13"/>
  <c r="AX119" i="13"/>
  <c r="AY119" i="13"/>
  <c r="AX115" i="13"/>
  <c r="AY115" i="13"/>
  <c r="AX112" i="13"/>
  <c r="AY112" i="13"/>
  <c r="AX109" i="13"/>
  <c r="AY109" i="13"/>
  <c r="AX106" i="13"/>
  <c r="AY106" i="13"/>
  <c r="AX103" i="13"/>
  <c r="AY103" i="13"/>
  <c r="AX100" i="13"/>
  <c r="AY100" i="13"/>
  <c r="AX95" i="13"/>
  <c r="AY95" i="13"/>
  <c r="AW87" i="13"/>
  <c r="AX87" i="13"/>
  <c r="AY87" i="13"/>
  <c r="AW84" i="13"/>
  <c r="AX84" i="13"/>
  <c r="AY84" i="13"/>
  <c r="AW81" i="13"/>
  <c r="AX81" i="13"/>
  <c r="AY81" i="13"/>
  <c r="AW77" i="13"/>
  <c r="AX77" i="13"/>
  <c r="AY77" i="13"/>
  <c r="AW73" i="13"/>
  <c r="AX73" i="13"/>
  <c r="AY73" i="13"/>
  <c r="AX70" i="13"/>
  <c r="AY70" i="13"/>
  <c r="AW67" i="13"/>
  <c r="AX67" i="13"/>
  <c r="AY67" i="13"/>
  <c r="AV64" i="13"/>
  <c r="AW64" i="13"/>
  <c r="AX64" i="13"/>
  <c r="AY64" i="13"/>
  <c r="AW61" i="13"/>
  <c r="AX61" i="13"/>
  <c r="AY61" i="13"/>
  <c r="AV58" i="13"/>
  <c r="AW58" i="13"/>
  <c r="AX58" i="13"/>
  <c r="AY58" i="13"/>
  <c r="AX54" i="13"/>
  <c r="AY54" i="13"/>
  <c r="AX51" i="13"/>
  <c r="AY51" i="13"/>
  <c r="AX45" i="13"/>
  <c r="AY45" i="13"/>
  <c r="AX41" i="13"/>
  <c r="AY41" i="13"/>
  <c r="AW38" i="13"/>
  <c r="AX38" i="13"/>
  <c r="AY38" i="13"/>
  <c r="AW35" i="13"/>
  <c r="AX35" i="13"/>
  <c r="AY35" i="13"/>
  <c r="AX31" i="13"/>
  <c r="AY31" i="13"/>
  <c r="AW27" i="13"/>
  <c r="AX27" i="13"/>
  <c r="AY27" i="13"/>
  <c r="AX19" i="13"/>
  <c r="AY19" i="13"/>
  <c r="AW16" i="13"/>
  <c r="AX16" i="13"/>
  <c r="AY16" i="13"/>
  <c r="AU13" i="13"/>
  <c r="AV13" i="13"/>
  <c r="AW13" i="13"/>
  <c r="AX13" i="13"/>
  <c r="AY13" i="13"/>
  <c r="AS10" i="13"/>
  <c r="AT10" i="13"/>
  <c r="AU10" i="13"/>
  <c r="AV10" i="13"/>
  <c r="AW10" i="13"/>
  <c r="AX10" i="13"/>
  <c r="AY10" i="13"/>
  <c r="BA57" i="13"/>
  <c r="BA59" i="13"/>
  <c r="BA60" i="13"/>
  <c r="BA62" i="13"/>
  <c r="BA63" i="13"/>
  <c r="BA65" i="13"/>
  <c r="BA66" i="13"/>
  <c r="BA68" i="13"/>
  <c r="BA69" i="13"/>
  <c r="BA71" i="13"/>
  <c r="BA72" i="13"/>
  <c r="BA74" i="13"/>
  <c r="BA75" i="13"/>
  <c r="BA76" i="13"/>
  <c r="BA78" i="13"/>
  <c r="BA79" i="13"/>
  <c r="BA80" i="13"/>
  <c r="BA82" i="13"/>
  <c r="BA83" i="13"/>
  <c r="BA85" i="13"/>
  <c r="BA86" i="13"/>
  <c r="BA88" i="13"/>
  <c r="BA89" i="13"/>
  <c r="BA90" i="13"/>
  <c r="BA288" i="13"/>
  <c r="BA289" i="13"/>
  <c r="BA304" i="13"/>
  <c r="BA8" i="13"/>
  <c r="BA9" i="13"/>
  <c r="BA11" i="13"/>
  <c r="BA12" i="13"/>
  <c r="BA14" i="13"/>
  <c r="BA15" i="13"/>
  <c r="BA17" i="13"/>
  <c r="BA18" i="13"/>
  <c r="BA20" i="13"/>
  <c r="BA21" i="13"/>
  <c r="BA22" i="13"/>
  <c r="BA23" i="13"/>
  <c r="BA24" i="13"/>
  <c r="BA25" i="13"/>
  <c r="BA26" i="13"/>
  <c r="BA28" i="13"/>
  <c r="BA29" i="13"/>
  <c r="BA30" i="13"/>
  <c r="BA32" i="13"/>
  <c r="BA33" i="13"/>
  <c r="BA34" i="13"/>
  <c r="BA36" i="13"/>
  <c r="BA37" i="13"/>
  <c r="BA39" i="13"/>
  <c r="BA41" i="13" s="1"/>
  <c r="BA40" i="13"/>
  <c r="BA42" i="13"/>
  <c r="BA43" i="13"/>
  <c r="BA44" i="13"/>
  <c r="BA46" i="13"/>
  <c r="BA47" i="13"/>
  <c r="BA48" i="13"/>
  <c r="BA49" i="13"/>
  <c r="BA50" i="13"/>
  <c r="BA52" i="13"/>
  <c r="BA53" i="13"/>
  <c r="BA55" i="13"/>
  <c r="AZ9" i="13"/>
  <c r="AZ11" i="13"/>
  <c r="AZ12" i="13"/>
  <c r="AZ14" i="13"/>
  <c r="AZ15" i="13"/>
  <c r="AZ17" i="13"/>
  <c r="AZ18" i="13"/>
  <c r="AZ20" i="13"/>
  <c r="AZ21" i="13"/>
  <c r="AZ22" i="13"/>
  <c r="AZ23" i="13"/>
  <c r="AZ24" i="13"/>
  <c r="AZ25" i="13"/>
  <c r="AZ26" i="13"/>
  <c r="AZ28" i="13"/>
  <c r="AZ29" i="13"/>
  <c r="AZ30" i="13"/>
  <c r="AZ32" i="13"/>
  <c r="AZ33" i="13"/>
  <c r="AZ34" i="13"/>
  <c r="AZ36" i="13"/>
  <c r="AZ37" i="13"/>
  <c r="AZ39" i="13"/>
  <c r="AZ40" i="13"/>
  <c r="AZ42" i="13"/>
  <c r="AZ43" i="13"/>
  <c r="AZ44" i="13"/>
  <c r="AZ46" i="13"/>
  <c r="AZ47" i="13"/>
  <c r="AZ48" i="13"/>
  <c r="AZ49" i="13"/>
  <c r="AZ50" i="13"/>
  <c r="AZ52" i="13"/>
  <c r="AZ53" i="13"/>
  <c r="AZ57" i="13"/>
  <c r="AZ59" i="13"/>
  <c r="AZ60" i="13"/>
  <c r="AZ62" i="13"/>
  <c r="AZ63" i="13"/>
  <c r="AZ65" i="13"/>
  <c r="AZ66" i="13"/>
  <c r="AZ68" i="13"/>
  <c r="AZ69" i="13"/>
  <c r="AZ71" i="13"/>
  <c r="AZ72" i="13"/>
  <c r="AZ74" i="13"/>
  <c r="AZ75" i="13"/>
  <c r="AZ76" i="13"/>
  <c r="AZ78" i="13"/>
  <c r="AZ79" i="13"/>
  <c r="AZ80" i="13"/>
  <c r="AZ82" i="13"/>
  <c r="AZ83" i="13"/>
  <c r="AZ85" i="13"/>
  <c r="AZ86" i="13"/>
  <c r="AZ88" i="13"/>
  <c r="AZ89" i="13"/>
  <c r="AZ90" i="13"/>
  <c r="AZ288" i="13"/>
  <c r="AZ289" i="13"/>
  <c r="AZ290" i="13"/>
  <c r="AZ304" i="13"/>
  <c r="AZ8" i="13"/>
  <c r="AZ10" i="13" s="1"/>
  <c r="BA56" i="13"/>
  <c r="R56" i="13"/>
  <c r="AZ56" i="13" s="1"/>
  <c r="R55" i="13"/>
  <c r="AZ55" i="13" s="1"/>
  <c r="AQ307" i="13"/>
  <c r="AR307" i="13"/>
  <c r="AS307" i="13"/>
  <c r="AT307" i="13"/>
  <c r="AU307" i="13"/>
  <c r="AV307" i="13"/>
  <c r="AQ227" i="13"/>
  <c r="AS227" i="13"/>
  <c r="BH162" i="13"/>
  <c r="BI162" i="13"/>
  <c r="BH112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Z81" i="13"/>
  <c r="AA81" i="13"/>
  <c r="AB81" i="13"/>
  <c r="AC81" i="13"/>
  <c r="AD81" i="13"/>
  <c r="AE81" i="13"/>
  <c r="AF81" i="13"/>
  <c r="AG81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Z77" i="13"/>
  <c r="AA77" i="13"/>
  <c r="AB77" i="13"/>
  <c r="AC77" i="13"/>
  <c r="AD77" i="13"/>
  <c r="AE77" i="13"/>
  <c r="AF77" i="13"/>
  <c r="AG77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M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O10" i="13"/>
  <c r="AP10" i="13"/>
  <c r="AQ10" i="13"/>
  <c r="AR10" i="13"/>
  <c r="U54" i="13"/>
  <c r="V54" i="13"/>
  <c r="BG26" i="13"/>
  <c r="BG28" i="13"/>
  <c r="BG29" i="13"/>
  <c r="BG30" i="13"/>
  <c r="BG32" i="13"/>
  <c r="BG33" i="13"/>
  <c r="BG34" i="13"/>
  <c r="BG36" i="13"/>
  <c r="BG37" i="13"/>
  <c r="BG39" i="13"/>
  <c r="BG40" i="13"/>
  <c r="BG42" i="13"/>
  <c r="BG43" i="13"/>
  <c r="BG44" i="13"/>
  <c r="BG46" i="13"/>
  <c r="BG47" i="13"/>
  <c r="BG48" i="13"/>
  <c r="BG49" i="13"/>
  <c r="BG50" i="13"/>
  <c r="BG52" i="13"/>
  <c r="BG53" i="13"/>
  <c r="BG55" i="13"/>
  <c r="BG56" i="13"/>
  <c r="BG57" i="13"/>
  <c r="BG59" i="13"/>
  <c r="BG60" i="13"/>
  <c r="BG62" i="13"/>
  <c r="BG63" i="13"/>
  <c r="BG65" i="13"/>
  <c r="BG66" i="13"/>
  <c r="BG68" i="13"/>
  <c r="BG69" i="13"/>
  <c r="BG71" i="13"/>
  <c r="BG72" i="13"/>
  <c r="BG74" i="13"/>
  <c r="BG75" i="13"/>
  <c r="BG76" i="13"/>
  <c r="BG78" i="13"/>
  <c r="BG79" i="13"/>
  <c r="BG80" i="13"/>
  <c r="BG82" i="13"/>
  <c r="BG83" i="13"/>
  <c r="BG85" i="13"/>
  <c r="BG86" i="13"/>
  <c r="BG88" i="13"/>
  <c r="BG89" i="13"/>
  <c r="BG90" i="13"/>
  <c r="BG9" i="13"/>
  <c r="BG11" i="13"/>
  <c r="BG12" i="13"/>
  <c r="BG14" i="13"/>
  <c r="BG15" i="13"/>
  <c r="BG17" i="13"/>
  <c r="BG18" i="13"/>
  <c r="BG20" i="13"/>
  <c r="BG21" i="13"/>
  <c r="BG22" i="13"/>
  <c r="BG23" i="13"/>
  <c r="BG24" i="13"/>
  <c r="BG25" i="13"/>
  <c r="BF28" i="13"/>
  <c r="BF29" i="13"/>
  <c r="BF30" i="13"/>
  <c r="BF32" i="13"/>
  <c r="BF33" i="13"/>
  <c r="BF34" i="13"/>
  <c r="BF36" i="13"/>
  <c r="BF37" i="13"/>
  <c r="BF39" i="13"/>
  <c r="BF40" i="13"/>
  <c r="BF42" i="13"/>
  <c r="BF43" i="13"/>
  <c r="BF44" i="13"/>
  <c r="BF46" i="13"/>
  <c r="BF47" i="13"/>
  <c r="BF48" i="13"/>
  <c r="BF49" i="13"/>
  <c r="BF50" i="13"/>
  <c r="BF52" i="13"/>
  <c r="BF53" i="13"/>
  <c r="BF55" i="13"/>
  <c r="BF56" i="13"/>
  <c r="BF57" i="13"/>
  <c r="BF59" i="13"/>
  <c r="BF60" i="13"/>
  <c r="BF62" i="13"/>
  <c r="BF63" i="13"/>
  <c r="BF65" i="13"/>
  <c r="BF66" i="13"/>
  <c r="BF68" i="13"/>
  <c r="BF69" i="13"/>
  <c r="BF71" i="13"/>
  <c r="BF72" i="13"/>
  <c r="BF74" i="13"/>
  <c r="BF75" i="13"/>
  <c r="BF76" i="13"/>
  <c r="BF78" i="13"/>
  <c r="BF79" i="13"/>
  <c r="BF80" i="13"/>
  <c r="BF82" i="13"/>
  <c r="BF83" i="13"/>
  <c r="BF85" i="13"/>
  <c r="BF86" i="13"/>
  <c r="BF88" i="13"/>
  <c r="BF89" i="13"/>
  <c r="BF90" i="13"/>
  <c r="BF9" i="13"/>
  <c r="BF11" i="13"/>
  <c r="BF12" i="13"/>
  <c r="BF14" i="13"/>
  <c r="BF15" i="13"/>
  <c r="BF17" i="13"/>
  <c r="BF18" i="13"/>
  <c r="BF20" i="13"/>
  <c r="BF21" i="13"/>
  <c r="BF22" i="13"/>
  <c r="BF23" i="13"/>
  <c r="BF24" i="13"/>
  <c r="BF25" i="13"/>
  <c r="BF26" i="13"/>
  <c r="BE32" i="13"/>
  <c r="BE33" i="13"/>
  <c r="BE34" i="13"/>
  <c r="BE36" i="13"/>
  <c r="BE37" i="13"/>
  <c r="BE39" i="13"/>
  <c r="BE40" i="13"/>
  <c r="BE42" i="13"/>
  <c r="BE43" i="13"/>
  <c r="BE44" i="13"/>
  <c r="BE46" i="13"/>
  <c r="BE47" i="13"/>
  <c r="BE48" i="13"/>
  <c r="BE49" i="13"/>
  <c r="BE50" i="13"/>
  <c r="BE52" i="13"/>
  <c r="BE53" i="13"/>
  <c r="BE55" i="13"/>
  <c r="BE56" i="13"/>
  <c r="BE57" i="13"/>
  <c r="BE59" i="13"/>
  <c r="BE60" i="13"/>
  <c r="BE62" i="13"/>
  <c r="BE63" i="13"/>
  <c r="BE65" i="13"/>
  <c r="BE66" i="13"/>
  <c r="BE68" i="13"/>
  <c r="BE69" i="13"/>
  <c r="BE71" i="13"/>
  <c r="BE72" i="13"/>
  <c r="BE74" i="13"/>
  <c r="BE75" i="13"/>
  <c r="BE76" i="13"/>
  <c r="BE78" i="13"/>
  <c r="BE79" i="13"/>
  <c r="BE80" i="13"/>
  <c r="BE82" i="13"/>
  <c r="BE83" i="13"/>
  <c r="BE85" i="13"/>
  <c r="BE86" i="13"/>
  <c r="BE88" i="13"/>
  <c r="BE89" i="13"/>
  <c r="BE90" i="13"/>
  <c r="BE9" i="13"/>
  <c r="BE11" i="13"/>
  <c r="BE12" i="13"/>
  <c r="BE14" i="13"/>
  <c r="BE15" i="13"/>
  <c r="BE17" i="13"/>
  <c r="BE18" i="13"/>
  <c r="BE20" i="13"/>
  <c r="BE21" i="13"/>
  <c r="BE22" i="13"/>
  <c r="BE23" i="13"/>
  <c r="BE24" i="13"/>
  <c r="BE25" i="13"/>
  <c r="BE26" i="13"/>
  <c r="BE28" i="13"/>
  <c r="BE29" i="13"/>
  <c r="BE30" i="13"/>
  <c r="BD32" i="13"/>
  <c r="BD33" i="13"/>
  <c r="BD34" i="13"/>
  <c r="BD36" i="13"/>
  <c r="BD37" i="13"/>
  <c r="BD39" i="13"/>
  <c r="BD40" i="13"/>
  <c r="BD42" i="13"/>
  <c r="BD43" i="13"/>
  <c r="BD44" i="13"/>
  <c r="BD46" i="13"/>
  <c r="BD47" i="13"/>
  <c r="BD48" i="13"/>
  <c r="BD49" i="13"/>
  <c r="BD50" i="13"/>
  <c r="BD52" i="13"/>
  <c r="BD53" i="13"/>
  <c r="BD55" i="13"/>
  <c r="BD56" i="13"/>
  <c r="BD57" i="13"/>
  <c r="BD59" i="13"/>
  <c r="BD60" i="13"/>
  <c r="BD62" i="13"/>
  <c r="BD63" i="13"/>
  <c r="BD65" i="13"/>
  <c r="BD66" i="13"/>
  <c r="BD68" i="13"/>
  <c r="BD69" i="13"/>
  <c r="BD71" i="13"/>
  <c r="BD72" i="13"/>
  <c r="BD74" i="13"/>
  <c r="BD75" i="13"/>
  <c r="BD76" i="13"/>
  <c r="BD78" i="13"/>
  <c r="BD79" i="13"/>
  <c r="BD80" i="13"/>
  <c r="BD82" i="13"/>
  <c r="BD83" i="13"/>
  <c r="BD85" i="13"/>
  <c r="BD86" i="13"/>
  <c r="BD88" i="13"/>
  <c r="BD89" i="13"/>
  <c r="BD90" i="13"/>
  <c r="BD9" i="13"/>
  <c r="BD11" i="13"/>
  <c r="BD12" i="13"/>
  <c r="BD14" i="13"/>
  <c r="BD15" i="13"/>
  <c r="BD17" i="13"/>
  <c r="BD18" i="13"/>
  <c r="BD20" i="13"/>
  <c r="BD21" i="13"/>
  <c r="BD22" i="13"/>
  <c r="BD23" i="13"/>
  <c r="BD24" i="13"/>
  <c r="BD25" i="13"/>
  <c r="BD26" i="13"/>
  <c r="BD28" i="13"/>
  <c r="BD29" i="13"/>
  <c r="BD30" i="13"/>
  <c r="BC78" i="13"/>
  <c r="BC79" i="13"/>
  <c r="BC80" i="13"/>
  <c r="BC82" i="13"/>
  <c r="BC83" i="13"/>
  <c r="BC85" i="13"/>
  <c r="BC86" i="13"/>
  <c r="BC88" i="13"/>
  <c r="BC89" i="13"/>
  <c r="BC90" i="13"/>
  <c r="BC57" i="13"/>
  <c r="BC59" i="13"/>
  <c r="BC60" i="13"/>
  <c r="BC62" i="13"/>
  <c r="BC63" i="13"/>
  <c r="BC65" i="13"/>
  <c r="BC66" i="13"/>
  <c r="BC68" i="13"/>
  <c r="BC69" i="13"/>
  <c r="BC71" i="13"/>
  <c r="BC72" i="13"/>
  <c r="BC74" i="13"/>
  <c r="BC75" i="13"/>
  <c r="BC76" i="13"/>
  <c r="BC40" i="13"/>
  <c r="BC42" i="13"/>
  <c r="BC43" i="13"/>
  <c r="BC44" i="13"/>
  <c r="BC46" i="13"/>
  <c r="BC47" i="13"/>
  <c r="BC48" i="13"/>
  <c r="BC49" i="13"/>
  <c r="BC50" i="13"/>
  <c r="BC52" i="13"/>
  <c r="BC53" i="13"/>
  <c r="BC55" i="13"/>
  <c r="BC56" i="13"/>
  <c r="BC22" i="13"/>
  <c r="BC23" i="13"/>
  <c r="BC24" i="13"/>
  <c r="BC25" i="13"/>
  <c r="BC26" i="13"/>
  <c r="BC28" i="13"/>
  <c r="BC29" i="13"/>
  <c r="BC30" i="13"/>
  <c r="BC32" i="13"/>
  <c r="BC33" i="13"/>
  <c r="BC34" i="13"/>
  <c r="BC36" i="13"/>
  <c r="BC37" i="13"/>
  <c r="BC39" i="13"/>
  <c r="BC9" i="13"/>
  <c r="BC11" i="13"/>
  <c r="BC12" i="13"/>
  <c r="BC14" i="13"/>
  <c r="BC15" i="13"/>
  <c r="BC17" i="13"/>
  <c r="BC18" i="13"/>
  <c r="BC20" i="13"/>
  <c r="BC21" i="13"/>
  <c r="BB9" i="13"/>
  <c r="BB11" i="13"/>
  <c r="BB12" i="13"/>
  <c r="BB14" i="13"/>
  <c r="BB15" i="13"/>
  <c r="BB17" i="13"/>
  <c r="BB18" i="13"/>
  <c r="BB20" i="13"/>
  <c r="BB21" i="13"/>
  <c r="BB22" i="13"/>
  <c r="BB23" i="13"/>
  <c r="BB24" i="13"/>
  <c r="BB25" i="13"/>
  <c r="BB26" i="13"/>
  <c r="BB28" i="13"/>
  <c r="BB29" i="13"/>
  <c r="BB30" i="13"/>
  <c r="BB32" i="13"/>
  <c r="BB33" i="13"/>
  <c r="BB34" i="13"/>
  <c r="BB36" i="13"/>
  <c r="BB37" i="13"/>
  <c r="BB39" i="13"/>
  <c r="BB40" i="13"/>
  <c r="BB42" i="13"/>
  <c r="BB43" i="13"/>
  <c r="BB44" i="13"/>
  <c r="BB46" i="13"/>
  <c r="BB47" i="13"/>
  <c r="BB48" i="13"/>
  <c r="BB49" i="13"/>
  <c r="BB50" i="13"/>
  <c r="BB52" i="13"/>
  <c r="BB53" i="13"/>
  <c r="BB55" i="13"/>
  <c r="BB56" i="13"/>
  <c r="BB57" i="13"/>
  <c r="BB59" i="13"/>
  <c r="BB60" i="13"/>
  <c r="BB62" i="13"/>
  <c r="BB63" i="13"/>
  <c r="BB65" i="13"/>
  <c r="BB66" i="13"/>
  <c r="BB68" i="13"/>
  <c r="BB69" i="13"/>
  <c r="BB71" i="13"/>
  <c r="BB72" i="13"/>
  <c r="BB74" i="13"/>
  <c r="BB75" i="13"/>
  <c r="BB76" i="13"/>
  <c r="BB78" i="13"/>
  <c r="BB79" i="13"/>
  <c r="BB80" i="13"/>
  <c r="BB82" i="13"/>
  <c r="BB83" i="13"/>
  <c r="BB85" i="13"/>
  <c r="BB86" i="13"/>
  <c r="BB88" i="13"/>
  <c r="BB89" i="13"/>
  <c r="BB90" i="13"/>
  <c r="BG8" i="13"/>
  <c r="BG10" i="13" s="1"/>
  <c r="BF8" i="13"/>
  <c r="BE8" i="13"/>
  <c r="BE10" i="13" s="1"/>
  <c r="BB8" i="13"/>
  <c r="BC8" i="13"/>
  <c r="BD8" i="13"/>
  <c r="BD10" i="13" s="1"/>
  <c r="D87" i="13"/>
  <c r="E87" i="13"/>
  <c r="F87" i="13"/>
  <c r="G87" i="13"/>
  <c r="H87" i="13"/>
  <c r="I87" i="13"/>
  <c r="J87" i="13"/>
  <c r="K87" i="13"/>
  <c r="L87" i="13"/>
  <c r="M87" i="13"/>
  <c r="R87" i="13"/>
  <c r="S87" i="13"/>
  <c r="T87" i="13"/>
  <c r="C87" i="13"/>
  <c r="X84" i="13"/>
  <c r="D84" i="13"/>
  <c r="E84" i="13"/>
  <c r="F84" i="13"/>
  <c r="G84" i="13"/>
  <c r="H84" i="13"/>
  <c r="I84" i="13"/>
  <c r="J84" i="13"/>
  <c r="K84" i="13"/>
  <c r="L84" i="13"/>
  <c r="M84" i="13"/>
  <c r="R84" i="13"/>
  <c r="S84" i="13"/>
  <c r="T84" i="13"/>
  <c r="U84" i="13"/>
  <c r="V84" i="13"/>
  <c r="W84" i="13"/>
  <c r="C84" i="13"/>
  <c r="D81" i="13"/>
  <c r="E81" i="13"/>
  <c r="F81" i="13"/>
  <c r="G81" i="13"/>
  <c r="H81" i="13"/>
  <c r="I81" i="13"/>
  <c r="J81" i="13"/>
  <c r="K81" i="13"/>
  <c r="L81" i="13"/>
  <c r="M81" i="13"/>
  <c r="R81" i="13"/>
  <c r="S81" i="13"/>
  <c r="T81" i="13"/>
  <c r="U81" i="13"/>
  <c r="V81" i="13"/>
  <c r="W81" i="13"/>
  <c r="X81" i="13"/>
  <c r="Y81" i="13"/>
  <c r="C81" i="13"/>
  <c r="D77" i="13"/>
  <c r="E77" i="13"/>
  <c r="F77" i="13"/>
  <c r="G77" i="13"/>
  <c r="H77" i="13"/>
  <c r="I77" i="13"/>
  <c r="J77" i="13"/>
  <c r="K77" i="13"/>
  <c r="L77" i="13"/>
  <c r="M77" i="13"/>
  <c r="R77" i="13"/>
  <c r="S77" i="13"/>
  <c r="T77" i="13"/>
  <c r="U77" i="13"/>
  <c r="V77" i="13"/>
  <c r="W77" i="13"/>
  <c r="X77" i="13"/>
  <c r="Y77" i="13"/>
  <c r="C77" i="13"/>
  <c r="D73" i="13"/>
  <c r="E73" i="13"/>
  <c r="F73" i="13"/>
  <c r="G73" i="13"/>
  <c r="H73" i="13"/>
  <c r="I73" i="13"/>
  <c r="J73" i="13"/>
  <c r="K73" i="13"/>
  <c r="L73" i="13"/>
  <c r="M73" i="13"/>
  <c r="R73" i="13"/>
  <c r="S73" i="13"/>
  <c r="T73" i="13"/>
  <c r="U73" i="13"/>
  <c r="V73" i="13"/>
  <c r="C73" i="13"/>
  <c r="D70" i="13"/>
  <c r="E70" i="13"/>
  <c r="F70" i="13"/>
  <c r="G70" i="13"/>
  <c r="H70" i="13"/>
  <c r="I70" i="13"/>
  <c r="J70" i="13"/>
  <c r="K70" i="13"/>
  <c r="L70" i="13"/>
  <c r="M70" i="13"/>
  <c r="R70" i="13"/>
  <c r="S70" i="13"/>
  <c r="T70" i="13"/>
  <c r="U70" i="13"/>
  <c r="V70" i="13"/>
  <c r="W70" i="13"/>
  <c r="X70" i="13"/>
  <c r="Y70" i="13"/>
  <c r="C70" i="13"/>
  <c r="D67" i="13"/>
  <c r="E67" i="13"/>
  <c r="F67" i="13"/>
  <c r="G67" i="13"/>
  <c r="H67" i="13"/>
  <c r="I67" i="13"/>
  <c r="J67" i="13"/>
  <c r="K67" i="13"/>
  <c r="L67" i="13"/>
  <c r="M67" i="13"/>
  <c r="R67" i="13"/>
  <c r="S67" i="13"/>
  <c r="C67" i="13"/>
  <c r="D64" i="13"/>
  <c r="E64" i="13"/>
  <c r="F64" i="13"/>
  <c r="G64" i="13"/>
  <c r="H64" i="13"/>
  <c r="I64" i="13"/>
  <c r="J64" i="13"/>
  <c r="K64" i="13"/>
  <c r="L64" i="13"/>
  <c r="M64" i="13"/>
  <c r="R64" i="13"/>
  <c r="S64" i="13"/>
  <c r="T64" i="13"/>
  <c r="C64" i="13"/>
  <c r="D61" i="13"/>
  <c r="E61" i="13"/>
  <c r="F61" i="13"/>
  <c r="G61" i="13"/>
  <c r="H61" i="13"/>
  <c r="I61" i="13"/>
  <c r="J61" i="13"/>
  <c r="K61" i="13"/>
  <c r="L61" i="13"/>
  <c r="M61" i="13"/>
  <c r="R61" i="13"/>
  <c r="S61" i="13"/>
  <c r="T61" i="13"/>
  <c r="U61" i="13"/>
  <c r="C61" i="13"/>
  <c r="D58" i="13"/>
  <c r="E58" i="13"/>
  <c r="F58" i="13"/>
  <c r="G58" i="13"/>
  <c r="H58" i="13"/>
  <c r="I58" i="13"/>
  <c r="J58" i="13"/>
  <c r="K58" i="13"/>
  <c r="L58" i="13"/>
  <c r="M58" i="13"/>
  <c r="S58" i="13"/>
  <c r="C58" i="13"/>
  <c r="D54" i="13"/>
  <c r="E54" i="13"/>
  <c r="F54" i="13"/>
  <c r="G54" i="13"/>
  <c r="H54" i="13"/>
  <c r="I54" i="13"/>
  <c r="J54" i="13"/>
  <c r="K54" i="13"/>
  <c r="L54" i="13"/>
  <c r="M54" i="13"/>
  <c r="R54" i="13"/>
  <c r="S54" i="13"/>
  <c r="T54" i="13"/>
  <c r="C54" i="13"/>
  <c r="D51" i="13"/>
  <c r="F51" i="13"/>
  <c r="G51" i="13"/>
  <c r="H51" i="13"/>
  <c r="I51" i="13"/>
  <c r="J51" i="13"/>
  <c r="K51" i="13"/>
  <c r="L51" i="13"/>
  <c r="M51" i="13"/>
  <c r="R51" i="13"/>
  <c r="S51" i="13"/>
  <c r="T51" i="13"/>
  <c r="U51" i="13"/>
  <c r="D45" i="13"/>
  <c r="F45" i="13"/>
  <c r="G45" i="13"/>
  <c r="H45" i="13"/>
  <c r="I45" i="13"/>
  <c r="J45" i="13"/>
  <c r="K45" i="13"/>
  <c r="L45" i="13"/>
  <c r="M45" i="13"/>
  <c r="R45" i="13"/>
  <c r="S45" i="13"/>
  <c r="T45" i="13"/>
  <c r="U45" i="13"/>
  <c r="V45" i="13"/>
  <c r="W45" i="13"/>
  <c r="X45" i="13"/>
  <c r="Y45" i="13"/>
  <c r="D41" i="13"/>
  <c r="F41" i="13"/>
  <c r="G41" i="13"/>
  <c r="H41" i="13"/>
  <c r="I41" i="13"/>
  <c r="J41" i="13"/>
  <c r="K41" i="13"/>
  <c r="L41" i="13"/>
  <c r="C41" i="13"/>
  <c r="D38" i="13"/>
  <c r="F38" i="13"/>
  <c r="G38" i="13"/>
  <c r="H38" i="13"/>
  <c r="I38" i="13"/>
  <c r="J38" i="13"/>
  <c r="K38" i="13"/>
  <c r="L38" i="13"/>
  <c r="M38" i="13"/>
  <c r="R38" i="13"/>
  <c r="S38" i="13"/>
  <c r="T38" i="13"/>
  <c r="U38" i="13"/>
  <c r="V38" i="13"/>
  <c r="W38" i="13"/>
  <c r="X38" i="13"/>
  <c r="C38" i="13"/>
  <c r="D35" i="13"/>
  <c r="E35" i="13"/>
  <c r="F35" i="13"/>
  <c r="G35" i="13"/>
  <c r="H35" i="13"/>
  <c r="I35" i="13"/>
  <c r="J35" i="13"/>
  <c r="K35" i="13"/>
  <c r="L35" i="13"/>
  <c r="M35" i="13"/>
  <c r="R35" i="13"/>
  <c r="S35" i="13"/>
  <c r="T35" i="13"/>
  <c r="U35" i="13"/>
  <c r="V35" i="13"/>
  <c r="C35" i="13"/>
  <c r="D31" i="13"/>
  <c r="E31" i="13"/>
  <c r="F31" i="13"/>
  <c r="G31" i="13"/>
  <c r="H31" i="13"/>
  <c r="I31" i="13"/>
  <c r="J31" i="13"/>
  <c r="K31" i="13"/>
  <c r="L31" i="13"/>
  <c r="M31" i="13"/>
  <c r="R31" i="13"/>
  <c r="S31" i="13"/>
  <c r="T31" i="13"/>
  <c r="U31" i="13"/>
  <c r="V31" i="13"/>
  <c r="W31" i="13"/>
  <c r="X31" i="13"/>
  <c r="C31" i="13"/>
  <c r="D27" i="13"/>
  <c r="F27" i="13"/>
  <c r="G27" i="13"/>
  <c r="H27" i="13"/>
  <c r="I27" i="13"/>
  <c r="J27" i="13"/>
  <c r="K27" i="13"/>
  <c r="L27" i="13"/>
  <c r="M27" i="13"/>
  <c r="R27" i="13"/>
  <c r="S27" i="13"/>
  <c r="T27" i="13"/>
  <c r="U27" i="13"/>
  <c r="V27" i="13"/>
  <c r="W27" i="13"/>
  <c r="X27" i="13"/>
  <c r="D19" i="13"/>
  <c r="F19" i="13"/>
  <c r="G19" i="13"/>
  <c r="H19" i="13"/>
  <c r="I19" i="13"/>
  <c r="J19" i="13"/>
  <c r="K19" i="13"/>
  <c r="L19" i="13"/>
  <c r="M19" i="13"/>
  <c r="R19" i="13"/>
  <c r="S19" i="13"/>
  <c r="T19" i="13"/>
  <c r="U19" i="13"/>
  <c r="V19" i="13"/>
  <c r="W19" i="13"/>
  <c r="X19" i="13"/>
  <c r="Y19" i="13"/>
  <c r="C19" i="13"/>
  <c r="D16" i="13"/>
  <c r="F16" i="13"/>
  <c r="G16" i="13"/>
  <c r="H16" i="13"/>
  <c r="I16" i="13"/>
  <c r="J16" i="13"/>
  <c r="K16" i="13"/>
  <c r="L16" i="13"/>
  <c r="M16" i="13"/>
  <c r="R16" i="13"/>
  <c r="S16" i="13"/>
  <c r="T16" i="13"/>
  <c r="U16" i="13"/>
  <c r="V16" i="13"/>
  <c r="W16" i="13"/>
  <c r="X16" i="13"/>
  <c r="Y16" i="13"/>
  <c r="C16" i="13"/>
  <c r="D13" i="13"/>
  <c r="F13" i="13"/>
  <c r="G13" i="13"/>
  <c r="H13" i="13"/>
  <c r="I13" i="13"/>
  <c r="J13" i="13"/>
  <c r="K13" i="13"/>
  <c r="L13" i="13"/>
  <c r="M13" i="13"/>
  <c r="R13" i="13"/>
  <c r="S13" i="13"/>
  <c r="T13" i="13"/>
  <c r="U13" i="13"/>
  <c r="V13" i="13"/>
  <c r="W13" i="13"/>
  <c r="X13" i="13"/>
  <c r="C13" i="13"/>
  <c r="C10" i="13"/>
  <c r="D10" i="13"/>
  <c r="F10" i="13"/>
  <c r="G10" i="13"/>
  <c r="I10" i="13"/>
  <c r="J10" i="13"/>
  <c r="L10" i="13"/>
  <c r="M10" i="13"/>
  <c r="R10" i="13"/>
  <c r="S10" i="13"/>
  <c r="T10" i="13"/>
  <c r="U10" i="13"/>
  <c r="V10" i="13"/>
  <c r="W10" i="13"/>
  <c r="X10" i="13"/>
  <c r="C51" i="13"/>
  <c r="C45" i="13"/>
  <c r="N57" i="13"/>
  <c r="P57" i="13"/>
  <c r="O57" i="13"/>
  <c r="Y10" i="13"/>
  <c r="C27" i="13"/>
  <c r="AY187" i="13" l="1"/>
  <c r="AZ31" i="13"/>
  <c r="BB54" i="13"/>
  <c r="BC19" i="13"/>
  <c r="BD73" i="13"/>
  <c r="BE73" i="13"/>
  <c r="BC38" i="13"/>
  <c r="BD13" i="13"/>
  <c r="BD61" i="13"/>
  <c r="BE13" i="13"/>
  <c r="BE84" i="13"/>
  <c r="BE67" i="13"/>
  <c r="BG19" i="13"/>
  <c r="BG84" i="13"/>
  <c r="BG73" i="13"/>
  <c r="BG61" i="13"/>
  <c r="BB38" i="13"/>
  <c r="BC13" i="13"/>
  <c r="BD19" i="13"/>
  <c r="BD84" i="13"/>
  <c r="BD67" i="13"/>
  <c r="BE19" i="13"/>
  <c r="BE61" i="13"/>
  <c r="BF41" i="13"/>
  <c r="BG13" i="13"/>
  <c r="BG67" i="13"/>
  <c r="AZ87" i="13"/>
  <c r="AZ70" i="13"/>
  <c r="AZ64" i="13"/>
  <c r="AZ19" i="13"/>
  <c r="AZ13" i="13"/>
  <c r="BA54" i="13"/>
  <c r="BA38" i="13"/>
  <c r="BC41" i="13"/>
  <c r="BD87" i="13"/>
  <c r="BD77" i="13"/>
  <c r="BD70" i="13"/>
  <c r="BD64" i="13"/>
  <c r="BD51" i="13"/>
  <c r="BE31" i="13"/>
  <c r="BE16" i="13"/>
  <c r="BE87" i="13"/>
  <c r="BE70" i="13"/>
  <c r="BE64" i="13"/>
  <c r="BE51" i="13"/>
  <c r="BF54" i="13"/>
  <c r="BF45" i="13"/>
  <c r="BF38" i="13"/>
  <c r="BG51" i="13"/>
  <c r="AZ84" i="13"/>
  <c r="AZ73" i="13"/>
  <c r="AZ67" i="13"/>
  <c r="AZ61" i="13"/>
  <c r="AZ51" i="13"/>
  <c r="AZ27" i="13"/>
  <c r="AZ16" i="13"/>
  <c r="AX242" i="13"/>
  <c r="BA58" i="13"/>
  <c r="AU91" i="13"/>
  <c r="AM91" i="13"/>
  <c r="AE91" i="13"/>
  <c r="AZ77" i="13"/>
  <c r="BA45" i="13"/>
  <c r="AQ91" i="13"/>
  <c r="AI91" i="13"/>
  <c r="AA91" i="13"/>
  <c r="AZ35" i="13"/>
  <c r="R58" i="13"/>
  <c r="AR91" i="13"/>
  <c r="AN91" i="13"/>
  <c r="AJ91" i="13"/>
  <c r="AF91" i="13"/>
  <c r="AB91" i="13"/>
  <c r="AS91" i="13"/>
  <c r="AO91" i="13"/>
  <c r="AK91" i="13"/>
  <c r="AG91" i="13"/>
  <c r="AC91" i="13"/>
  <c r="AY264" i="13"/>
  <c r="BA81" i="13"/>
  <c r="AY91" i="13"/>
  <c r="AY137" i="13"/>
  <c r="AX225" i="13"/>
  <c r="BB10" i="13"/>
  <c r="BB87" i="13"/>
  <c r="BB77" i="13"/>
  <c r="BB70" i="13"/>
  <c r="BB64" i="13"/>
  <c r="BB51" i="13"/>
  <c r="BB31" i="13"/>
  <c r="BB16" i="13"/>
  <c r="BC31" i="13"/>
  <c r="BC58" i="13"/>
  <c r="BC73" i="13"/>
  <c r="BC67" i="13"/>
  <c r="BC61" i="13"/>
  <c r="BC84" i="13"/>
  <c r="BG54" i="13"/>
  <c r="BG45" i="13"/>
  <c r="BG38" i="13"/>
  <c r="AZ41" i="13"/>
  <c r="BA35" i="13"/>
  <c r="BA19" i="13"/>
  <c r="BA13" i="13"/>
  <c r="BA84" i="13"/>
  <c r="BA73" i="13"/>
  <c r="BA67" i="13"/>
  <c r="BA61" i="13"/>
  <c r="AX91" i="13"/>
  <c r="AX137" i="13"/>
  <c r="AY242" i="13"/>
  <c r="BF10" i="13"/>
  <c r="BC87" i="13"/>
  <c r="AT91" i="13"/>
  <c r="AP91" i="13"/>
  <c r="AL91" i="13"/>
  <c r="AH91" i="13"/>
  <c r="AD91" i="13"/>
  <c r="Z91" i="13"/>
  <c r="AZ81" i="13"/>
  <c r="AZ54" i="13"/>
  <c r="AZ45" i="13"/>
  <c r="AZ38" i="13"/>
  <c r="BA51" i="13"/>
  <c r="BA31" i="13"/>
  <c r="BA27" i="13"/>
  <c r="BA16" i="13"/>
  <c r="BA10" i="13"/>
  <c r="BA87" i="13"/>
  <c r="BA77" i="13"/>
  <c r="BA70" i="13"/>
  <c r="BA64" i="13"/>
  <c r="AX187" i="13"/>
  <c r="AY225" i="13"/>
  <c r="AX264" i="13"/>
  <c r="W91" i="13"/>
  <c r="X91" i="13"/>
  <c r="BB27" i="13"/>
  <c r="Q57" i="13"/>
  <c r="BB45" i="13"/>
  <c r="BC51" i="13"/>
  <c r="BD31" i="13"/>
  <c r="BD27" i="13"/>
  <c r="BD16" i="13"/>
  <c r="BB13" i="13"/>
  <c r="Y91" i="13"/>
  <c r="U91" i="13"/>
  <c r="BC10" i="13"/>
  <c r="BB81" i="13"/>
  <c r="BB58" i="13"/>
  <c r="BB41" i="13"/>
  <c r="BC27" i="13"/>
  <c r="BC16" i="13"/>
  <c r="V91" i="13"/>
  <c r="BB84" i="13"/>
  <c r="BB73" i="13"/>
  <c r="BB67" i="13"/>
  <c r="BB61" i="13"/>
  <c r="BB35" i="13"/>
  <c r="BB19" i="13"/>
  <c r="BC35" i="13"/>
  <c r="BC54" i="13"/>
  <c r="BC45" i="13"/>
  <c r="BC77" i="13"/>
  <c r="BC70" i="13"/>
  <c r="BC64" i="13"/>
  <c r="BC81" i="13"/>
  <c r="BD81" i="13"/>
  <c r="BD58" i="13"/>
  <c r="BD41" i="13"/>
  <c r="BE81" i="13"/>
  <c r="BE58" i="13"/>
  <c r="BE41" i="13"/>
  <c r="BF27" i="13"/>
  <c r="BF16" i="13"/>
  <c r="BF87" i="13"/>
  <c r="BF77" i="13"/>
  <c r="BF70" i="13"/>
  <c r="BF64" i="13"/>
  <c r="BF51" i="13"/>
  <c r="BF31" i="13"/>
  <c r="BG81" i="13"/>
  <c r="BG58" i="13"/>
  <c r="BG41" i="13"/>
  <c r="AV91" i="13"/>
  <c r="AZ58" i="13"/>
  <c r="AW91" i="13"/>
  <c r="BE27" i="13"/>
  <c r="BE77" i="13"/>
  <c r="BG27" i="13"/>
  <c r="BG16" i="13"/>
  <c r="BG87" i="13"/>
  <c r="BG77" i="13"/>
  <c r="BG70" i="13"/>
  <c r="BG64" i="13"/>
  <c r="BG31" i="13"/>
  <c r="BD54" i="13"/>
  <c r="BD45" i="13"/>
  <c r="BD38" i="13"/>
  <c r="BE54" i="13"/>
  <c r="BE45" i="13"/>
  <c r="BE38" i="13"/>
  <c r="BF19" i="13"/>
  <c r="BF13" i="13"/>
  <c r="BF84" i="13"/>
  <c r="BF73" i="13"/>
  <c r="BF67" i="13"/>
  <c r="BF61" i="13"/>
  <c r="BF35" i="13"/>
  <c r="BD35" i="13"/>
  <c r="BE35" i="13"/>
  <c r="BF81" i="13"/>
  <c r="BF58" i="13"/>
  <c r="BG35" i="13"/>
  <c r="BA91" i="13" l="1"/>
  <c r="BC91" i="13"/>
  <c r="BB91" i="13"/>
  <c r="BG91" i="13"/>
  <c r="BE91" i="13"/>
  <c r="BF91" i="13"/>
  <c r="AZ91" i="13"/>
  <c r="BD91" i="13"/>
  <c r="AP224" i="13"/>
  <c r="AQ266" i="13" l="1"/>
  <c r="R5" i="12"/>
  <c r="R6" i="12"/>
  <c r="R7" i="12"/>
  <c r="R4" i="12"/>
  <c r="U5" i="12"/>
  <c r="U4" i="12"/>
  <c r="T4" i="12"/>
  <c r="U6" i="12"/>
  <c r="U7" i="12"/>
  <c r="U8" i="12"/>
  <c r="U9" i="12"/>
  <c r="U10" i="12"/>
  <c r="U11" i="12"/>
  <c r="U12" i="12"/>
  <c r="U13" i="12"/>
  <c r="U14" i="12"/>
  <c r="U15" i="12"/>
  <c r="T5" i="12"/>
  <c r="T6" i="12"/>
  <c r="T7" i="12"/>
  <c r="T8" i="12"/>
  <c r="T9" i="12"/>
  <c r="T10" i="12"/>
  <c r="T11" i="12"/>
  <c r="T12" i="12"/>
  <c r="T13" i="12"/>
  <c r="T14" i="12"/>
  <c r="T15" i="12"/>
  <c r="S5" i="12"/>
  <c r="S6" i="12"/>
  <c r="S7" i="12"/>
  <c r="S8" i="12"/>
  <c r="S9" i="12"/>
  <c r="S10" i="12"/>
  <c r="S11" i="12"/>
  <c r="S12" i="12"/>
  <c r="S13" i="12"/>
  <c r="S14" i="12"/>
  <c r="S15" i="12"/>
  <c r="S4" i="12"/>
  <c r="R8" i="12"/>
  <c r="R9" i="12"/>
  <c r="R10" i="12"/>
  <c r="R11" i="12"/>
  <c r="R12" i="12"/>
  <c r="R13" i="12"/>
  <c r="R14" i="12"/>
  <c r="R15" i="12"/>
  <c r="AU286" i="13"/>
  <c r="AW286" i="13"/>
  <c r="AS283" i="13"/>
  <c r="AS282" i="13"/>
  <c r="AS288" i="13"/>
  <c r="AS289" i="13"/>
  <c r="AS290" i="13"/>
  <c r="AS291" i="13"/>
  <c r="AS292" i="13"/>
  <c r="AS293" i="13"/>
  <c r="AS294" i="13"/>
  <c r="AS295" i="13"/>
  <c r="AS296" i="13"/>
  <c r="AS297" i="13"/>
  <c r="AS298" i="13"/>
  <c r="AS299" i="13"/>
  <c r="AS300" i="13"/>
  <c r="AS301" i="13"/>
  <c r="AS302" i="13"/>
  <c r="AS303" i="13"/>
  <c r="AS304" i="13"/>
  <c r="AS277" i="13"/>
  <c r="AS278" i="13"/>
  <c r="AS279" i="13"/>
  <c r="AS280" i="13"/>
  <c r="AS281" i="13"/>
  <c r="AS284" i="13"/>
  <c r="AS285" i="13"/>
  <c r="AS286" i="13"/>
  <c r="AS287" i="13"/>
  <c r="AS276" i="13"/>
  <c r="AR283" i="13"/>
  <c r="AR282" i="13"/>
  <c r="AR277" i="13"/>
  <c r="AR278" i="13"/>
  <c r="AR279" i="13"/>
  <c r="AR280" i="13"/>
  <c r="AR281" i="13"/>
  <c r="AR284" i="13"/>
  <c r="AR285" i="13"/>
  <c r="AR286" i="13"/>
  <c r="AR287" i="13"/>
  <c r="AR288" i="13"/>
  <c r="AR289" i="13"/>
  <c r="AR290" i="13"/>
  <c r="AR291" i="13"/>
  <c r="AR292" i="13"/>
  <c r="AR293" i="13"/>
  <c r="AR294" i="13"/>
  <c r="AR295" i="13"/>
  <c r="AR296" i="13"/>
  <c r="AR297" i="13"/>
  <c r="AR298" i="13"/>
  <c r="AR299" i="13"/>
  <c r="AR300" i="13"/>
  <c r="AR301" i="13"/>
  <c r="AR302" i="13"/>
  <c r="AR303" i="13"/>
  <c r="AR304" i="13"/>
  <c r="AR276" i="13"/>
  <c r="AP307" i="13"/>
  <c r="AP280" i="13"/>
  <c r="AP277" i="13"/>
  <c r="AP278" i="13"/>
  <c r="AP279" i="13"/>
  <c r="AP276" i="13"/>
  <c r="AU272" i="13"/>
  <c r="AW263" i="13"/>
  <c r="AQ263" i="13"/>
  <c r="AU228" i="13"/>
  <c r="AS238" i="13"/>
  <c r="AO228" i="13"/>
  <c r="AO229" i="13"/>
  <c r="AO231" i="13"/>
  <c r="AO232" i="13"/>
  <c r="AO233" i="13"/>
  <c r="AO234" i="13"/>
  <c r="AO235" i="13"/>
  <c r="AO236" i="13"/>
  <c r="AO237" i="13" s="1"/>
  <c r="AO238" i="13"/>
  <c r="AO239" i="13"/>
  <c r="AO241" i="13"/>
  <c r="AO243" i="13"/>
  <c r="AO244" i="13"/>
  <c r="AO245" i="13"/>
  <c r="AO246" i="13"/>
  <c r="AO247" i="13"/>
  <c r="AO248" i="13"/>
  <c r="AO249" i="13"/>
  <c r="AO251" i="13"/>
  <c r="AO252" i="13"/>
  <c r="AO253" i="13"/>
  <c r="AO254" i="13"/>
  <c r="AO256" i="13"/>
  <c r="AO257" i="13"/>
  <c r="AO259" i="13"/>
  <c r="AO260" i="13"/>
  <c r="AO261" i="13"/>
  <c r="AO263" i="13"/>
  <c r="AO265" i="13"/>
  <c r="AO266" i="13"/>
  <c r="AO268" i="13"/>
  <c r="AO269" i="13"/>
  <c r="AO270" i="13"/>
  <c r="AO272" i="13"/>
  <c r="AO274" i="13"/>
  <c r="AO275" i="13" s="1"/>
  <c r="AO276" i="13"/>
  <c r="AO277" i="13"/>
  <c r="AO278" i="13"/>
  <c r="AO279" i="13"/>
  <c r="AO280" i="13"/>
  <c r="AO281" i="13"/>
  <c r="AO282" i="13"/>
  <c r="AO283" i="13"/>
  <c r="AO284" i="13"/>
  <c r="AO285" i="13"/>
  <c r="AO286" i="13"/>
  <c r="AO287" i="13"/>
  <c r="AO288" i="13"/>
  <c r="AO289" i="13"/>
  <c r="AO290" i="13"/>
  <c r="AO291" i="13"/>
  <c r="AO292" i="13"/>
  <c r="AO293" i="13"/>
  <c r="AO294" i="13"/>
  <c r="AO295" i="13"/>
  <c r="AO296" i="13"/>
  <c r="AO297" i="13"/>
  <c r="AO298" i="13"/>
  <c r="AO299" i="13"/>
  <c r="AO300" i="13"/>
  <c r="AO301" i="13"/>
  <c r="AO302" i="13"/>
  <c r="AO303" i="13"/>
  <c r="AO304" i="13"/>
  <c r="AO306" i="13"/>
  <c r="AO309" i="13"/>
  <c r="AO310" i="13"/>
  <c r="AO311" i="13"/>
  <c r="AO312" i="13"/>
  <c r="AO313" i="13"/>
  <c r="AV220" i="13"/>
  <c r="AT224" i="13"/>
  <c r="AQ216" i="13"/>
  <c r="AW185" i="13"/>
  <c r="AU177" i="13"/>
  <c r="AS185" i="13"/>
  <c r="AQ183" i="13"/>
  <c r="AS130" i="13"/>
  <c r="AU120" i="13"/>
  <c r="AQ129" i="13"/>
  <c r="AW93" i="13"/>
  <c r="AW94" i="13"/>
  <c r="AW96" i="13"/>
  <c r="AW97" i="13"/>
  <c r="AW98" i="13"/>
  <c r="AW99" i="13"/>
  <c r="AW101" i="13"/>
  <c r="AW102" i="13"/>
  <c r="AW104" i="13"/>
  <c r="AW105" i="13"/>
  <c r="AW107" i="13"/>
  <c r="AW108" i="13"/>
  <c r="AW110" i="13"/>
  <c r="AW111" i="13"/>
  <c r="AW113" i="13"/>
  <c r="AW114" i="13"/>
  <c r="AW116" i="13"/>
  <c r="AW117" i="13"/>
  <c r="AW118" i="13"/>
  <c r="AW120" i="13"/>
  <c r="AW121" i="13"/>
  <c r="AW122" i="13"/>
  <c r="AW123" i="13"/>
  <c r="AW125" i="13"/>
  <c r="AW126" i="13"/>
  <c r="AW128" i="13"/>
  <c r="AW129" i="13"/>
  <c r="AW130" i="13"/>
  <c r="AW131" i="13"/>
  <c r="AW132" i="13"/>
  <c r="AW133" i="13"/>
  <c r="AW134" i="13"/>
  <c r="AW135" i="13"/>
  <c r="AW138" i="13"/>
  <c r="AW139" i="13"/>
  <c r="AW140" i="13"/>
  <c r="AW142" i="13"/>
  <c r="AW143" i="13"/>
  <c r="AW145" i="13"/>
  <c r="AW146" i="13"/>
  <c r="AW147" i="13"/>
  <c r="AW149" i="13"/>
  <c r="AW150" i="13"/>
  <c r="AW151" i="13"/>
  <c r="AW152" i="13"/>
  <c r="AW153" i="13"/>
  <c r="AW154" i="13"/>
  <c r="AW155" i="13"/>
  <c r="AW156" i="13"/>
  <c r="AW157" i="13"/>
  <c r="AW159" i="13"/>
  <c r="AW160" i="13"/>
  <c r="AW161" i="13"/>
  <c r="AW163" i="13"/>
  <c r="AW164" i="13"/>
  <c r="AW165" i="13"/>
  <c r="AW167" i="13"/>
  <c r="AW168" i="13"/>
  <c r="AW169" i="13"/>
  <c r="AW171" i="13"/>
  <c r="AW172" i="13"/>
  <c r="AW173" i="13"/>
  <c r="AW174" i="13"/>
  <c r="AW175" i="13"/>
  <c r="AW177" i="13"/>
  <c r="AW178" i="13"/>
  <c r="AW179" i="13"/>
  <c r="AW180" i="13"/>
  <c r="AW182" i="13"/>
  <c r="AW183" i="13"/>
  <c r="AW184" i="13"/>
  <c r="AW188" i="13"/>
  <c r="AW190" i="13"/>
  <c r="AW191" i="13"/>
  <c r="AW192" i="13"/>
  <c r="AW194" i="13"/>
  <c r="AW195" i="13"/>
  <c r="AW196" i="13"/>
  <c r="AW198" i="13"/>
  <c r="AW199" i="13"/>
  <c r="AW200" i="13"/>
  <c r="AW201" i="13"/>
  <c r="AW202" i="13"/>
  <c r="AW203" i="13"/>
  <c r="AW204" i="13"/>
  <c r="AW205" i="13"/>
  <c r="AW206" i="13"/>
  <c r="AW208" i="13"/>
  <c r="AW209" i="13"/>
  <c r="AW210" i="13"/>
  <c r="AW212" i="13"/>
  <c r="AW213" i="13"/>
  <c r="AW214" i="13"/>
  <c r="AW216" i="13"/>
  <c r="AW217" i="13"/>
  <c r="AW218" i="13"/>
  <c r="AW220" i="13"/>
  <c r="AW221" i="13"/>
  <c r="AW222" i="13"/>
  <c r="AW224" i="13"/>
  <c r="AW228" i="13"/>
  <c r="AW229" i="13"/>
  <c r="AW231" i="13"/>
  <c r="AW232" i="13"/>
  <c r="AW233" i="13"/>
  <c r="AW234" i="13"/>
  <c r="AW235" i="13"/>
  <c r="AW236" i="13"/>
  <c r="AW238" i="13"/>
  <c r="AW239" i="13"/>
  <c r="AW241" i="13"/>
  <c r="AW243" i="13"/>
  <c r="AW244" i="13"/>
  <c r="AW245" i="13"/>
  <c r="AW246" i="13"/>
  <c r="AW247" i="13"/>
  <c r="AW248" i="13"/>
  <c r="AW249" i="13"/>
  <c r="AW251" i="13"/>
  <c r="AW252" i="13"/>
  <c r="AW253" i="13"/>
  <c r="AW254" i="13"/>
  <c r="AW256" i="13"/>
  <c r="AW257" i="13"/>
  <c r="AW259" i="13"/>
  <c r="AW260" i="13"/>
  <c r="AW261" i="13"/>
  <c r="AW265" i="13"/>
  <c r="AW266" i="13"/>
  <c r="AW268" i="13"/>
  <c r="AW269" i="13"/>
  <c r="AW270" i="13"/>
  <c r="AW272" i="13"/>
  <c r="AW274" i="13"/>
  <c r="AW275" i="13" s="1"/>
  <c r="AW276" i="13"/>
  <c r="AW277" i="13"/>
  <c r="AW278" i="13"/>
  <c r="AW279" i="13"/>
  <c r="AW280" i="13"/>
  <c r="AW281" i="13"/>
  <c r="AW282" i="13"/>
  <c r="AW283" i="13"/>
  <c r="AW284" i="13"/>
  <c r="AW285" i="13"/>
  <c r="AW287" i="13"/>
  <c r="AW288" i="13"/>
  <c r="AW289" i="13"/>
  <c r="AW290" i="13"/>
  <c r="AW291" i="13"/>
  <c r="AW292" i="13"/>
  <c r="AW293" i="13"/>
  <c r="BG293" i="13" s="1"/>
  <c r="AW294" i="13"/>
  <c r="BG294" i="13" s="1"/>
  <c r="AW295" i="13"/>
  <c r="BG295" i="13" s="1"/>
  <c r="AW296" i="13"/>
  <c r="AW297" i="13"/>
  <c r="BG297" i="13" s="1"/>
  <c r="AW298" i="13"/>
  <c r="BG298" i="13" s="1"/>
  <c r="AW299" i="13"/>
  <c r="BG299" i="13" s="1"/>
  <c r="AW300" i="13"/>
  <c r="AW301" i="13"/>
  <c r="BG301" i="13" s="1"/>
  <c r="AW302" i="13"/>
  <c r="BG302" i="13" s="1"/>
  <c r="AW303" i="13"/>
  <c r="BG303" i="13" s="1"/>
  <c r="AW304" i="13"/>
  <c r="AW92" i="13"/>
  <c r="AS93" i="13"/>
  <c r="AS94" i="13"/>
  <c r="AS96" i="13"/>
  <c r="AS97" i="13"/>
  <c r="AS98" i="13"/>
  <c r="AS99" i="13"/>
  <c r="AS101" i="13"/>
  <c r="AS102" i="13"/>
  <c r="AS104" i="13"/>
  <c r="AS105" i="13"/>
  <c r="AS107" i="13"/>
  <c r="AS108" i="13"/>
  <c r="AS110" i="13"/>
  <c r="AS111" i="13"/>
  <c r="AS113" i="13"/>
  <c r="AS114" i="13"/>
  <c r="AS116" i="13"/>
  <c r="AS117" i="13"/>
  <c r="AS118" i="13"/>
  <c r="AS120" i="13"/>
  <c r="AS121" i="13"/>
  <c r="AS122" i="13"/>
  <c r="AS123" i="13"/>
  <c r="AS125" i="13"/>
  <c r="AS126" i="13"/>
  <c r="AS128" i="13"/>
  <c r="AS129" i="13"/>
  <c r="AS131" i="13"/>
  <c r="AS132" i="13"/>
  <c r="AS133" i="13"/>
  <c r="AS134" i="13"/>
  <c r="AS135" i="13"/>
  <c r="AS138" i="13"/>
  <c r="AS139" i="13"/>
  <c r="AS140" i="13"/>
  <c r="AS142" i="13"/>
  <c r="AS143" i="13"/>
  <c r="AS145" i="13"/>
  <c r="AS146" i="13"/>
  <c r="AS147" i="13"/>
  <c r="AS149" i="13"/>
  <c r="AS150" i="13"/>
  <c r="AS151" i="13"/>
  <c r="AS152" i="13"/>
  <c r="AS153" i="13"/>
  <c r="AS154" i="13"/>
  <c r="AS155" i="13"/>
  <c r="AS156" i="13"/>
  <c r="AS157" i="13"/>
  <c r="AS159" i="13"/>
  <c r="AS160" i="13"/>
  <c r="AS161" i="13"/>
  <c r="AS163" i="13"/>
  <c r="AS164" i="13"/>
  <c r="AS165" i="13"/>
  <c r="AS167" i="13"/>
  <c r="AS168" i="13"/>
  <c r="AS169" i="13"/>
  <c r="AS171" i="13"/>
  <c r="AS172" i="13"/>
  <c r="AS173" i="13"/>
  <c r="AS174" i="13"/>
  <c r="AS175" i="13"/>
  <c r="AS177" i="13"/>
  <c r="AS178" i="13"/>
  <c r="AS179" i="13"/>
  <c r="AS180" i="13"/>
  <c r="AS182" i="13"/>
  <c r="AS183" i="13"/>
  <c r="AS184" i="13"/>
  <c r="AS188" i="13"/>
  <c r="AS190" i="13"/>
  <c r="AS191" i="13"/>
  <c r="AS192" i="13"/>
  <c r="AS194" i="13"/>
  <c r="AS195" i="13"/>
  <c r="AS196" i="13"/>
  <c r="AS198" i="13"/>
  <c r="AS199" i="13"/>
  <c r="AS200" i="13"/>
  <c r="AS201" i="13"/>
  <c r="AS202" i="13"/>
  <c r="AS203" i="13"/>
  <c r="AS204" i="13"/>
  <c r="AS205" i="13"/>
  <c r="AS206" i="13"/>
  <c r="AS208" i="13"/>
  <c r="AS209" i="13"/>
  <c r="AS210" i="13"/>
  <c r="AS212" i="13"/>
  <c r="AS213" i="13"/>
  <c r="AS214" i="13"/>
  <c r="AS216" i="13"/>
  <c r="AS217" i="13"/>
  <c r="AS218" i="13"/>
  <c r="AS220" i="13"/>
  <c r="AS221" i="13"/>
  <c r="AS222" i="13"/>
  <c r="AS224" i="13"/>
  <c r="AS228" i="13"/>
  <c r="AS229" i="13"/>
  <c r="AS231" i="13"/>
  <c r="AS232" i="13"/>
  <c r="AS233" i="13"/>
  <c r="AS234" i="13"/>
  <c r="AS235" i="13"/>
  <c r="AS236" i="13"/>
  <c r="AS239" i="13"/>
  <c r="AS241" i="13"/>
  <c r="AS243" i="13"/>
  <c r="AS244" i="13"/>
  <c r="AS245" i="13"/>
  <c r="AS246" i="13"/>
  <c r="AS247" i="13"/>
  <c r="AS248" i="13"/>
  <c r="AS249" i="13"/>
  <c r="AS251" i="13"/>
  <c r="AS252" i="13"/>
  <c r="AS253" i="13"/>
  <c r="AS254" i="13"/>
  <c r="AS256" i="13"/>
  <c r="AS257" i="13"/>
  <c r="AS259" i="13"/>
  <c r="AS260" i="13"/>
  <c r="AS261" i="13"/>
  <c r="AS263" i="13"/>
  <c r="AS265" i="13"/>
  <c r="AS266" i="13"/>
  <c r="AS268" i="13"/>
  <c r="AS269" i="13"/>
  <c r="AS270" i="13"/>
  <c r="AS272" i="13"/>
  <c r="AS274" i="13"/>
  <c r="AS275" i="13" s="1"/>
  <c r="AS92" i="13"/>
  <c r="AU93" i="13"/>
  <c r="AU94" i="13"/>
  <c r="AU96" i="13"/>
  <c r="AU97" i="13"/>
  <c r="AU98" i="13"/>
  <c r="AU99" i="13"/>
  <c r="AU101" i="13"/>
  <c r="AU102" i="13"/>
  <c r="AU104" i="13"/>
  <c r="AU105" i="13"/>
  <c r="AU107" i="13"/>
  <c r="AU108" i="13"/>
  <c r="AU110" i="13"/>
  <c r="AU111" i="13"/>
  <c r="AU113" i="13"/>
  <c r="AU114" i="13"/>
  <c r="AU116" i="13"/>
  <c r="AU117" i="13"/>
  <c r="AU118" i="13"/>
  <c r="AU121" i="13"/>
  <c r="AU122" i="13"/>
  <c r="AU123" i="13"/>
  <c r="AU125" i="13"/>
  <c r="AU126" i="13"/>
  <c r="AU128" i="13"/>
  <c r="AU129" i="13"/>
  <c r="AU130" i="13"/>
  <c r="AU131" i="13"/>
  <c r="AU132" i="13"/>
  <c r="AU133" i="13"/>
  <c r="AU134" i="13"/>
  <c r="AU135" i="13"/>
  <c r="AU92" i="13"/>
  <c r="AU138" i="13"/>
  <c r="AU139" i="13"/>
  <c r="AU140" i="13"/>
  <c r="AU142" i="13"/>
  <c r="AU143" i="13"/>
  <c r="AU145" i="13"/>
  <c r="AU146" i="13"/>
  <c r="AU147" i="13"/>
  <c r="AU149" i="13"/>
  <c r="AU150" i="13"/>
  <c r="AU151" i="13"/>
  <c r="AU152" i="13"/>
  <c r="AU153" i="13"/>
  <c r="AU154" i="13"/>
  <c r="AU155" i="13"/>
  <c r="AU156" i="13"/>
  <c r="AU157" i="13"/>
  <c r="AU159" i="13"/>
  <c r="AU160" i="13"/>
  <c r="AU161" i="13"/>
  <c r="AU163" i="13"/>
  <c r="AU164" i="13"/>
  <c r="AU165" i="13"/>
  <c r="AU167" i="13"/>
  <c r="AU168" i="13"/>
  <c r="AU169" i="13"/>
  <c r="AU171" i="13"/>
  <c r="AU172" i="13"/>
  <c r="AU173" i="13"/>
  <c r="AU174" i="13"/>
  <c r="AU175" i="13"/>
  <c r="AU178" i="13"/>
  <c r="AU179" i="13"/>
  <c r="AU180" i="13"/>
  <c r="AU182" i="13"/>
  <c r="AU183" i="13"/>
  <c r="AU184" i="13"/>
  <c r="AU185" i="13"/>
  <c r="AU188" i="13"/>
  <c r="AU190" i="13"/>
  <c r="AU191" i="13"/>
  <c r="AU192" i="13"/>
  <c r="AU194" i="13"/>
  <c r="AU195" i="13"/>
  <c r="AU196" i="13"/>
  <c r="AU198" i="13"/>
  <c r="AU199" i="13"/>
  <c r="AU200" i="13"/>
  <c r="AU201" i="13"/>
  <c r="AU202" i="13"/>
  <c r="AU203" i="13"/>
  <c r="AU204" i="13"/>
  <c r="AU205" i="13"/>
  <c r="AU206" i="13"/>
  <c r="AU208" i="13"/>
  <c r="AU209" i="13"/>
  <c r="AU210" i="13"/>
  <c r="AU212" i="13"/>
  <c r="AU213" i="13"/>
  <c r="AU214" i="13"/>
  <c r="AU216" i="13"/>
  <c r="AU217" i="13"/>
  <c r="AU218" i="13"/>
  <c r="AU220" i="13"/>
  <c r="AU221" i="13"/>
  <c r="AU222" i="13"/>
  <c r="AU224" i="13"/>
  <c r="AU226" i="13"/>
  <c r="AU229" i="13"/>
  <c r="AU231" i="13"/>
  <c r="AU232" i="13"/>
  <c r="AU233" i="13"/>
  <c r="AU234" i="13"/>
  <c r="AU235" i="13"/>
  <c r="AU236" i="13"/>
  <c r="AU238" i="13"/>
  <c r="AU239" i="13"/>
  <c r="AU241" i="13"/>
  <c r="AU243" i="13"/>
  <c r="AU244" i="13"/>
  <c r="AU245" i="13"/>
  <c r="AU246" i="13"/>
  <c r="AU247" i="13"/>
  <c r="AU248" i="13"/>
  <c r="AU249" i="13"/>
  <c r="AU251" i="13"/>
  <c r="AU252" i="13"/>
  <c r="AU253" i="13"/>
  <c r="AU254" i="13"/>
  <c r="AU256" i="13"/>
  <c r="AU257" i="13"/>
  <c r="AU259" i="13"/>
  <c r="AU260" i="13"/>
  <c r="AU261" i="13"/>
  <c r="AU263" i="13"/>
  <c r="AU265" i="13"/>
  <c r="AU266" i="13"/>
  <c r="AU268" i="13"/>
  <c r="AU269" i="13"/>
  <c r="AU270" i="13"/>
  <c r="AU274" i="13"/>
  <c r="AU275" i="13" s="1"/>
  <c r="AU276" i="13"/>
  <c r="AU277" i="13"/>
  <c r="AU278" i="13"/>
  <c r="AU279" i="13"/>
  <c r="AU280" i="13"/>
  <c r="AU281" i="13"/>
  <c r="AU282" i="13"/>
  <c r="AU283" i="13"/>
  <c r="AU284" i="13"/>
  <c r="AU285" i="13"/>
  <c r="AU287" i="13"/>
  <c r="AU288" i="13"/>
  <c r="AU289" i="13"/>
  <c r="AU290" i="13"/>
  <c r="AU291" i="13"/>
  <c r="AU292" i="13"/>
  <c r="AU293" i="13"/>
  <c r="AU294" i="13"/>
  <c r="AU295" i="13"/>
  <c r="AU296" i="13"/>
  <c r="AU297" i="13"/>
  <c r="AU298" i="13"/>
  <c r="AU299" i="13"/>
  <c r="AU300" i="13"/>
  <c r="AU301" i="13"/>
  <c r="AU302" i="13"/>
  <c r="AU303" i="13"/>
  <c r="AU304" i="13"/>
  <c r="AQ99" i="13"/>
  <c r="AQ101" i="13"/>
  <c r="AQ102" i="13"/>
  <c r="AQ104" i="13"/>
  <c r="AQ105" i="13"/>
  <c r="AQ107" i="13"/>
  <c r="AQ108" i="13"/>
  <c r="AQ110" i="13"/>
  <c r="AQ111" i="13"/>
  <c r="AQ113" i="13"/>
  <c r="AQ114" i="13"/>
  <c r="AQ116" i="13"/>
  <c r="AQ117" i="13"/>
  <c r="AQ118" i="13"/>
  <c r="AQ120" i="13"/>
  <c r="AQ121" i="13"/>
  <c r="AQ122" i="13"/>
  <c r="AQ123" i="13"/>
  <c r="AQ125" i="13"/>
  <c r="AQ126" i="13"/>
  <c r="AQ128" i="13"/>
  <c r="AQ130" i="13"/>
  <c r="AQ131" i="13"/>
  <c r="AQ132" i="13"/>
  <c r="AQ133" i="13"/>
  <c r="AQ134" i="13"/>
  <c r="AQ135" i="13"/>
  <c r="AQ138" i="13"/>
  <c r="AQ139" i="13"/>
  <c r="AQ140" i="13"/>
  <c r="AQ142" i="13"/>
  <c r="AQ143" i="13"/>
  <c r="AQ145" i="13"/>
  <c r="AQ146" i="13"/>
  <c r="AQ147" i="13"/>
  <c r="AQ149" i="13"/>
  <c r="AQ150" i="13"/>
  <c r="AQ151" i="13"/>
  <c r="AQ152" i="13"/>
  <c r="AQ153" i="13"/>
  <c r="AQ154" i="13"/>
  <c r="AQ155" i="13"/>
  <c r="AQ156" i="13"/>
  <c r="AQ157" i="13"/>
  <c r="AQ159" i="13"/>
  <c r="AQ160" i="13"/>
  <c r="AQ161" i="13"/>
  <c r="AQ163" i="13"/>
  <c r="AQ164" i="13"/>
  <c r="AQ165" i="13"/>
  <c r="AQ167" i="13"/>
  <c r="AQ168" i="13"/>
  <c r="AQ169" i="13"/>
  <c r="AQ171" i="13"/>
  <c r="AQ172" i="13"/>
  <c r="AQ173" i="13"/>
  <c r="AQ174" i="13"/>
  <c r="AQ175" i="13"/>
  <c r="AQ177" i="13"/>
  <c r="AQ178" i="13"/>
  <c r="AQ179" i="13"/>
  <c r="AQ180" i="13"/>
  <c r="AQ182" i="13"/>
  <c r="AQ184" i="13"/>
  <c r="AQ185" i="13"/>
  <c r="AQ188" i="13"/>
  <c r="AQ190" i="13"/>
  <c r="AQ191" i="13"/>
  <c r="AQ192" i="13"/>
  <c r="AQ194" i="13"/>
  <c r="AQ195" i="13"/>
  <c r="AQ196" i="13"/>
  <c r="AQ198" i="13"/>
  <c r="AQ199" i="13"/>
  <c r="AQ200" i="13"/>
  <c r="AQ201" i="13"/>
  <c r="AQ202" i="13"/>
  <c r="AQ203" i="13"/>
  <c r="AQ204" i="13"/>
  <c r="AQ205" i="13"/>
  <c r="AQ206" i="13"/>
  <c r="AQ208" i="13"/>
  <c r="AQ209" i="13"/>
  <c r="AQ210" i="13"/>
  <c r="AQ212" i="13"/>
  <c r="AQ213" i="13"/>
  <c r="AQ214" i="13"/>
  <c r="AQ217" i="13"/>
  <c r="AQ218" i="13"/>
  <c r="AQ220" i="13"/>
  <c r="AQ221" i="13"/>
  <c r="AQ222" i="13"/>
  <c r="AQ224" i="13"/>
  <c r="AQ228" i="13"/>
  <c r="AQ229" i="13"/>
  <c r="AQ231" i="13"/>
  <c r="AQ232" i="13"/>
  <c r="AQ233" i="13"/>
  <c r="AQ234" i="13"/>
  <c r="AQ235" i="13"/>
  <c r="AQ236" i="13"/>
  <c r="AQ238" i="13"/>
  <c r="AQ239" i="13"/>
  <c r="AQ241" i="13"/>
  <c r="AQ243" i="13"/>
  <c r="AQ244" i="13"/>
  <c r="AQ245" i="13"/>
  <c r="AQ246" i="13"/>
  <c r="AQ247" i="13"/>
  <c r="AQ248" i="13"/>
  <c r="AQ249" i="13"/>
  <c r="AQ251" i="13"/>
  <c r="AQ252" i="13"/>
  <c r="AQ253" i="13"/>
  <c r="AQ254" i="13"/>
  <c r="AQ256" i="13"/>
  <c r="AQ257" i="13"/>
  <c r="AQ259" i="13"/>
  <c r="AQ260" i="13"/>
  <c r="AQ261" i="13"/>
  <c r="AQ265" i="13"/>
  <c r="AQ268" i="13"/>
  <c r="AQ269" i="13"/>
  <c r="AQ270" i="13"/>
  <c r="AQ272" i="13"/>
  <c r="AQ276" i="13"/>
  <c r="AQ277" i="13"/>
  <c r="AQ278" i="13"/>
  <c r="AQ279" i="13"/>
  <c r="AQ280" i="13"/>
  <c r="AQ281" i="13"/>
  <c r="AQ282" i="13"/>
  <c r="AQ283" i="13"/>
  <c r="AQ284" i="13"/>
  <c r="AQ285" i="13"/>
  <c r="AQ286" i="13"/>
  <c r="AQ287" i="13"/>
  <c r="AQ290" i="13"/>
  <c r="AQ291" i="13"/>
  <c r="AQ292" i="13"/>
  <c r="AQ293" i="13"/>
  <c r="AQ294" i="13"/>
  <c r="AQ295" i="13"/>
  <c r="AQ296" i="13"/>
  <c r="AQ297" i="13"/>
  <c r="AQ298" i="13"/>
  <c r="AQ299" i="13"/>
  <c r="AQ300" i="13"/>
  <c r="AQ301" i="13"/>
  <c r="AQ302" i="13"/>
  <c r="AQ303" i="13"/>
  <c r="AQ93" i="13"/>
  <c r="AQ94" i="13"/>
  <c r="AQ96" i="13"/>
  <c r="AQ97" i="13"/>
  <c r="AQ98" i="13"/>
  <c r="AQ92" i="13"/>
  <c r="AV93" i="13"/>
  <c r="AV94" i="13"/>
  <c r="AV96" i="13"/>
  <c r="AV97" i="13"/>
  <c r="AV98" i="13"/>
  <c r="AV99" i="13"/>
  <c r="AV101" i="13"/>
  <c r="AV102" i="13"/>
  <c r="AV104" i="13"/>
  <c r="AV105" i="13"/>
  <c r="AV107" i="13"/>
  <c r="AV108" i="13"/>
  <c r="AV110" i="13"/>
  <c r="AV111" i="13"/>
  <c r="AV113" i="13"/>
  <c r="AV114" i="13"/>
  <c r="AV116" i="13"/>
  <c r="AV117" i="13"/>
  <c r="AV118" i="13"/>
  <c r="AV120" i="13"/>
  <c r="AV121" i="13"/>
  <c r="AV122" i="13"/>
  <c r="AV123" i="13"/>
  <c r="AV125" i="13"/>
  <c r="AV126" i="13"/>
  <c r="AV128" i="13"/>
  <c r="AV129" i="13"/>
  <c r="AV130" i="13"/>
  <c r="AV131" i="13"/>
  <c r="AV132" i="13"/>
  <c r="AV133" i="13"/>
  <c r="AV134" i="13"/>
  <c r="AV135" i="13"/>
  <c r="AV138" i="13"/>
  <c r="AV139" i="13"/>
  <c r="AV140" i="13"/>
  <c r="AV142" i="13"/>
  <c r="AV143" i="13"/>
  <c r="AV145" i="13"/>
  <c r="AV146" i="13"/>
  <c r="AV147" i="13"/>
  <c r="AV149" i="13"/>
  <c r="AV150" i="13"/>
  <c r="AV151" i="13"/>
  <c r="AV152" i="13"/>
  <c r="AV153" i="13"/>
  <c r="AV154" i="13"/>
  <c r="AV155" i="13"/>
  <c r="AV156" i="13"/>
  <c r="AV157" i="13"/>
  <c r="AV159" i="13"/>
  <c r="AV160" i="13"/>
  <c r="AV161" i="13"/>
  <c r="AV163" i="13"/>
  <c r="AV164" i="13"/>
  <c r="AV165" i="13"/>
  <c r="AV167" i="13"/>
  <c r="AV168" i="13"/>
  <c r="AV169" i="13"/>
  <c r="AV171" i="13"/>
  <c r="AV172" i="13"/>
  <c r="AV173" i="13"/>
  <c r="AV174" i="13"/>
  <c r="AV175" i="13"/>
  <c r="AV177" i="13"/>
  <c r="AV178" i="13"/>
  <c r="AV179" i="13"/>
  <c r="AV180" i="13"/>
  <c r="AV182" i="13"/>
  <c r="AV183" i="13"/>
  <c r="AV184" i="13"/>
  <c r="AV185" i="13"/>
  <c r="AV188" i="13"/>
  <c r="AV190" i="13"/>
  <c r="AV191" i="13"/>
  <c r="AV192" i="13"/>
  <c r="AV194" i="13"/>
  <c r="AV195" i="13"/>
  <c r="AV196" i="13"/>
  <c r="AV198" i="13"/>
  <c r="AV199" i="13"/>
  <c r="AV200" i="13"/>
  <c r="AV201" i="13"/>
  <c r="AV202" i="13"/>
  <c r="AV203" i="13"/>
  <c r="AV204" i="13"/>
  <c r="AV205" i="13"/>
  <c r="AV206" i="13"/>
  <c r="AV208" i="13"/>
  <c r="AV209" i="13"/>
  <c r="AV210" i="13"/>
  <c r="AV212" i="13"/>
  <c r="AV213" i="13"/>
  <c r="AV214" i="13"/>
  <c r="AV216" i="13"/>
  <c r="AV217" i="13"/>
  <c r="AV218" i="13"/>
  <c r="AV221" i="13"/>
  <c r="AV222" i="13"/>
  <c r="AV224" i="13"/>
  <c r="AV226" i="13"/>
  <c r="AV228" i="13"/>
  <c r="AV229" i="13"/>
  <c r="AV231" i="13"/>
  <c r="AV232" i="13"/>
  <c r="AV233" i="13"/>
  <c r="AV234" i="13"/>
  <c r="AV235" i="13"/>
  <c r="AV236" i="13"/>
  <c r="AV238" i="13"/>
  <c r="AV239" i="13"/>
  <c r="AV241" i="13"/>
  <c r="AV243" i="13"/>
  <c r="AV244" i="13"/>
  <c r="AV245" i="13"/>
  <c r="AV246" i="13"/>
  <c r="AV247" i="13"/>
  <c r="AV248" i="13"/>
  <c r="AV249" i="13"/>
  <c r="AV251" i="13"/>
  <c r="AV252" i="13"/>
  <c r="AV253" i="13"/>
  <c r="AV254" i="13"/>
  <c r="AV256" i="13"/>
  <c r="AV257" i="13"/>
  <c r="AV259" i="13"/>
  <c r="AV260" i="13"/>
  <c r="AV261" i="13"/>
  <c r="AV263" i="13"/>
  <c r="AV265" i="13"/>
  <c r="AV266" i="13"/>
  <c r="AV268" i="13"/>
  <c r="AV269" i="13"/>
  <c r="AV270" i="13"/>
  <c r="AV272" i="13"/>
  <c r="AV274" i="13"/>
  <c r="AV275" i="13" s="1"/>
  <c r="AV276" i="13"/>
  <c r="AV277" i="13"/>
  <c r="AV278" i="13"/>
  <c r="AV279" i="13"/>
  <c r="AV280" i="13"/>
  <c r="AV281" i="13"/>
  <c r="AV282" i="13"/>
  <c r="AV283" i="13"/>
  <c r="AV284" i="13"/>
  <c r="AV285" i="13"/>
  <c r="AV286" i="13"/>
  <c r="AV287" i="13"/>
  <c r="AV288" i="13"/>
  <c r="AV289" i="13"/>
  <c r="AV290" i="13"/>
  <c r="AV291" i="13"/>
  <c r="AV292" i="13"/>
  <c r="AV293" i="13"/>
  <c r="AV294" i="13"/>
  <c r="AV295" i="13"/>
  <c r="AV296" i="13"/>
  <c r="AV297" i="13"/>
  <c r="AV298" i="13"/>
  <c r="AV299" i="13"/>
  <c r="AV300" i="13"/>
  <c r="AV301" i="13"/>
  <c r="AV302" i="13"/>
  <c r="AV303" i="13"/>
  <c r="AV304" i="13"/>
  <c r="AT93" i="13"/>
  <c r="AT94" i="13"/>
  <c r="AT96" i="13"/>
  <c r="AT97" i="13"/>
  <c r="AT98" i="13"/>
  <c r="AT99" i="13"/>
  <c r="AT101" i="13"/>
  <c r="AT102" i="13"/>
  <c r="AT104" i="13"/>
  <c r="AT105" i="13"/>
  <c r="AT107" i="13"/>
  <c r="AT108" i="13"/>
  <c r="AT110" i="13"/>
  <c r="AT111" i="13"/>
  <c r="AT113" i="13"/>
  <c r="AT114" i="13"/>
  <c r="AT116" i="13"/>
  <c r="AT117" i="13"/>
  <c r="AT118" i="13"/>
  <c r="AT120" i="13"/>
  <c r="AT121" i="13"/>
  <c r="AT122" i="13"/>
  <c r="AT123" i="13"/>
  <c r="AT125" i="13"/>
  <c r="AT126" i="13"/>
  <c r="AT128" i="13"/>
  <c r="AT129" i="13"/>
  <c r="AT130" i="13"/>
  <c r="AT131" i="13"/>
  <c r="AT132" i="13"/>
  <c r="AT133" i="13"/>
  <c r="AT134" i="13"/>
  <c r="AT135" i="13"/>
  <c r="AT138" i="13"/>
  <c r="AT139" i="13"/>
  <c r="AT140" i="13"/>
  <c r="AT142" i="13"/>
  <c r="AT143" i="13"/>
  <c r="AT145" i="13"/>
  <c r="AT146" i="13"/>
  <c r="AT147" i="13"/>
  <c r="AT149" i="13"/>
  <c r="AT150" i="13"/>
  <c r="AT151" i="13"/>
  <c r="AT152" i="13"/>
  <c r="AT153" i="13"/>
  <c r="AT154" i="13"/>
  <c r="AT155" i="13"/>
  <c r="AT156" i="13"/>
  <c r="AT157" i="13"/>
  <c r="AT159" i="13"/>
  <c r="AT160" i="13"/>
  <c r="AT161" i="13"/>
  <c r="AT163" i="13"/>
  <c r="AT164" i="13"/>
  <c r="AT165" i="13"/>
  <c r="AT167" i="13"/>
  <c r="AT168" i="13"/>
  <c r="AT169" i="13"/>
  <c r="AT171" i="13"/>
  <c r="AT172" i="13"/>
  <c r="AT173" i="13"/>
  <c r="AT174" i="13"/>
  <c r="AT175" i="13"/>
  <c r="AT177" i="13"/>
  <c r="AT178" i="13"/>
  <c r="AT179" i="13"/>
  <c r="AT180" i="13"/>
  <c r="AT182" i="13"/>
  <c r="AT183" i="13"/>
  <c r="AT184" i="13"/>
  <c r="AT185" i="13"/>
  <c r="AT188" i="13"/>
  <c r="AT190" i="13"/>
  <c r="AT191" i="13"/>
  <c r="AT192" i="13"/>
  <c r="AT194" i="13"/>
  <c r="AT195" i="13"/>
  <c r="AT196" i="13"/>
  <c r="AT198" i="13"/>
  <c r="AT199" i="13"/>
  <c r="AT200" i="13"/>
  <c r="AT201" i="13"/>
  <c r="AT202" i="13"/>
  <c r="AT203" i="13"/>
  <c r="AT204" i="13"/>
  <c r="AT205" i="13"/>
  <c r="AT206" i="13"/>
  <c r="AT208" i="13"/>
  <c r="AT209" i="13"/>
  <c r="AT210" i="13"/>
  <c r="AT212" i="13"/>
  <c r="AT213" i="13"/>
  <c r="AT214" i="13"/>
  <c r="AT216" i="13"/>
  <c r="AT217" i="13"/>
  <c r="AT218" i="13"/>
  <c r="AT220" i="13"/>
  <c r="AT221" i="13"/>
  <c r="AT222" i="13"/>
  <c r="AT226" i="13"/>
  <c r="AT228" i="13"/>
  <c r="AT229" i="13"/>
  <c r="AT231" i="13"/>
  <c r="AT232" i="13"/>
  <c r="AT233" i="13"/>
  <c r="AT234" i="13"/>
  <c r="AT235" i="13"/>
  <c r="AT236" i="13"/>
  <c r="AT238" i="13"/>
  <c r="AT239" i="13"/>
  <c r="AT241" i="13"/>
  <c r="AT243" i="13"/>
  <c r="AT244" i="13"/>
  <c r="AT245" i="13"/>
  <c r="AT246" i="13"/>
  <c r="AT247" i="13"/>
  <c r="AT248" i="13"/>
  <c r="AT249" i="13"/>
  <c r="AT251" i="13"/>
  <c r="AT252" i="13"/>
  <c r="AT253" i="13"/>
  <c r="AT254" i="13"/>
  <c r="AT256" i="13"/>
  <c r="AT257" i="13"/>
  <c r="AT259" i="13"/>
  <c r="AT260" i="13"/>
  <c r="AT261" i="13"/>
  <c r="AT263" i="13"/>
  <c r="AT265" i="13"/>
  <c r="AT266" i="13"/>
  <c r="AT268" i="13"/>
  <c r="AT269" i="13"/>
  <c r="AT270" i="13"/>
  <c r="AT272" i="13"/>
  <c r="AT274" i="13"/>
  <c r="AT275" i="13" s="1"/>
  <c r="AT276" i="13"/>
  <c r="AT277" i="13"/>
  <c r="AT278" i="13"/>
  <c r="AT279" i="13"/>
  <c r="AT280" i="13"/>
  <c r="AT281" i="13"/>
  <c r="AT282" i="13"/>
  <c r="AT283" i="13"/>
  <c r="AT284" i="13"/>
  <c r="AT285" i="13"/>
  <c r="AT286" i="13"/>
  <c r="AT287" i="13"/>
  <c r="AT288" i="13"/>
  <c r="AT289" i="13"/>
  <c r="AT290" i="13"/>
  <c r="AT291" i="13"/>
  <c r="AT292" i="13"/>
  <c r="AT293" i="13"/>
  <c r="AT294" i="13"/>
  <c r="AT295" i="13"/>
  <c r="AT296" i="13"/>
  <c r="AT297" i="13"/>
  <c r="AT298" i="13"/>
  <c r="AT299" i="13"/>
  <c r="AT300" i="13"/>
  <c r="AT301" i="13"/>
  <c r="AT302" i="13"/>
  <c r="AT303" i="13"/>
  <c r="AT304" i="13"/>
  <c r="AR93" i="13"/>
  <c r="AR94" i="13"/>
  <c r="AR96" i="13"/>
  <c r="AR97" i="13"/>
  <c r="AR98" i="13"/>
  <c r="AR99" i="13"/>
  <c r="AR101" i="13"/>
  <c r="AR102" i="13"/>
  <c r="AR104" i="13"/>
  <c r="AR105" i="13"/>
  <c r="AR107" i="13"/>
  <c r="AR108" i="13"/>
  <c r="AR110" i="13"/>
  <c r="AR111" i="13"/>
  <c r="AR113" i="13"/>
  <c r="AR114" i="13"/>
  <c r="AR116" i="13"/>
  <c r="AR117" i="13"/>
  <c r="AR118" i="13"/>
  <c r="AR120" i="13"/>
  <c r="AR121" i="13"/>
  <c r="AR122" i="13"/>
  <c r="AR123" i="13"/>
  <c r="AR125" i="13"/>
  <c r="AR126" i="13"/>
  <c r="AR128" i="13"/>
  <c r="AR129" i="13"/>
  <c r="AR130" i="13"/>
  <c r="AR131" i="13"/>
  <c r="AR132" i="13"/>
  <c r="AR133" i="13"/>
  <c r="AR134" i="13"/>
  <c r="AR135" i="13"/>
  <c r="AR138" i="13"/>
  <c r="AR139" i="13"/>
  <c r="AR140" i="13"/>
  <c r="AR142" i="13"/>
  <c r="AR143" i="13"/>
  <c r="AR145" i="13"/>
  <c r="AR146" i="13"/>
  <c r="AR147" i="13"/>
  <c r="AR149" i="13"/>
  <c r="AR150" i="13"/>
  <c r="AR151" i="13"/>
  <c r="AR152" i="13"/>
  <c r="AR153" i="13"/>
  <c r="AR154" i="13"/>
  <c r="AR155" i="13"/>
  <c r="AR156" i="13"/>
  <c r="AR157" i="13"/>
  <c r="AR159" i="13"/>
  <c r="AR160" i="13"/>
  <c r="AR161" i="13"/>
  <c r="AR163" i="13"/>
  <c r="AR164" i="13"/>
  <c r="AR165" i="13"/>
  <c r="AR167" i="13"/>
  <c r="AR168" i="13"/>
  <c r="AR169" i="13"/>
  <c r="AR171" i="13"/>
  <c r="AR172" i="13"/>
  <c r="AR173" i="13"/>
  <c r="AR174" i="13"/>
  <c r="AR175" i="13"/>
  <c r="AR177" i="13"/>
  <c r="AR178" i="13"/>
  <c r="AR179" i="13"/>
  <c r="AR180" i="13"/>
  <c r="AR182" i="13"/>
  <c r="AR183" i="13"/>
  <c r="AR184" i="13"/>
  <c r="AR185" i="13"/>
  <c r="AR188" i="13"/>
  <c r="AR190" i="13"/>
  <c r="AR191" i="13"/>
  <c r="AR192" i="13"/>
  <c r="AR194" i="13"/>
  <c r="AR195" i="13"/>
  <c r="AR196" i="13"/>
  <c r="AR198" i="13"/>
  <c r="AR199" i="13"/>
  <c r="AR200" i="13"/>
  <c r="AR201" i="13"/>
  <c r="AR202" i="13"/>
  <c r="AR203" i="13"/>
  <c r="AR204" i="13"/>
  <c r="AR205" i="13"/>
  <c r="AR206" i="13"/>
  <c r="AR208" i="13"/>
  <c r="AR209" i="13"/>
  <c r="AR210" i="13"/>
  <c r="AR212" i="13"/>
  <c r="AR213" i="13"/>
  <c r="AR214" i="13"/>
  <c r="AR216" i="13"/>
  <c r="AR217" i="13"/>
  <c r="AR218" i="13"/>
  <c r="AR220" i="13"/>
  <c r="AR221" i="13"/>
  <c r="AR222" i="13"/>
  <c r="AR224" i="13"/>
  <c r="AR226" i="13"/>
  <c r="AR228" i="13"/>
  <c r="AR229" i="13"/>
  <c r="AR231" i="13"/>
  <c r="AR232" i="13"/>
  <c r="AR233" i="13"/>
  <c r="AR234" i="13"/>
  <c r="AR235" i="13"/>
  <c r="AR236" i="13"/>
  <c r="AR238" i="13"/>
  <c r="AR239" i="13"/>
  <c r="AR241" i="13"/>
  <c r="AR243" i="13"/>
  <c r="AR244" i="13"/>
  <c r="AR245" i="13"/>
  <c r="AR246" i="13"/>
  <c r="AR247" i="13"/>
  <c r="AR248" i="13"/>
  <c r="AR249" i="13"/>
  <c r="AR251" i="13"/>
  <c r="AR252" i="13"/>
  <c r="AR253" i="13"/>
  <c r="AR254" i="13"/>
  <c r="AR256" i="13"/>
  <c r="AR257" i="13"/>
  <c r="AR259" i="13"/>
  <c r="AR260" i="13"/>
  <c r="AR261" i="13"/>
  <c r="AR263" i="13"/>
  <c r="AR265" i="13"/>
  <c r="AR266" i="13"/>
  <c r="AR268" i="13"/>
  <c r="AR269" i="13"/>
  <c r="AR270" i="13"/>
  <c r="AR272" i="13"/>
  <c r="AR274" i="13"/>
  <c r="AR275" i="13" s="1"/>
  <c r="AV92" i="13"/>
  <c r="AT92" i="13"/>
  <c r="AR92" i="13"/>
  <c r="AP93" i="13"/>
  <c r="AP94" i="13"/>
  <c r="AP96" i="13"/>
  <c r="AP97" i="13"/>
  <c r="AP98" i="13"/>
  <c r="AP99" i="13"/>
  <c r="AP101" i="13"/>
  <c r="AP102" i="13"/>
  <c r="AP104" i="13"/>
  <c r="AP105" i="13"/>
  <c r="AP107" i="13"/>
  <c r="AP108" i="13"/>
  <c r="AP110" i="13"/>
  <c r="AP111" i="13"/>
  <c r="AP113" i="13"/>
  <c r="AP114" i="13"/>
  <c r="AP116" i="13"/>
  <c r="AP117" i="13"/>
  <c r="AP118" i="13"/>
  <c r="AP120" i="13"/>
  <c r="AP121" i="13"/>
  <c r="AP122" i="13"/>
  <c r="AP123" i="13"/>
  <c r="AP125" i="13"/>
  <c r="AP126" i="13"/>
  <c r="AP128" i="13"/>
  <c r="AP129" i="13"/>
  <c r="AP130" i="13"/>
  <c r="AP131" i="13"/>
  <c r="AP132" i="13"/>
  <c r="AP133" i="13"/>
  <c r="AP134" i="13"/>
  <c r="AP135" i="13"/>
  <c r="AP138" i="13"/>
  <c r="AP139" i="13"/>
  <c r="AP140" i="13"/>
  <c r="AP142" i="13"/>
  <c r="AP143" i="13"/>
  <c r="AP145" i="13"/>
  <c r="AP146" i="13"/>
  <c r="AP147" i="13"/>
  <c r="AP149" i="13"/>
  <c r="AP150" i="13"/>
  <c r="AP151" i="13"/>
  <c r="AP152" i="13"/>
  <c r="AP153" i="13"/>
  <c r="AP154" i="13"/>
  <c r="AP155" i="13"/>
  <c r="AP156" i="13"/>
  <c r="AP157" i="13"/>
  <c r="AP159" i="13"/>
  <c r="AP160" i="13"/>
  <c r="AP161" i="13"/>
  <c r="AP163" i="13"/>
  <c r="AP164" i="13"/>
  <c r="AP165" i="13"/>
  <c r="AP167" i="13"/>
  <c r="AP168" i="13"/>
  <c r="AP169" i="13"/>
  <c r="AP171" i="13"/>
  <c r="AP172" i="13"/>
  <c r="AP173" i="13"/>
  <c r="AP174" i="13"/>
  <c r="AP175" i="13"/>
  <c r="AP177" i="13"/>
  <c r="AP178" i="13"/>
  <c r="AP179" i="13"/>
  <c r="AP180" i="13"/>
  <c r="AP182" i="13"/>
  <c r="AP183" i="13"/>
  <c r="AP184" i="13"/>
  <c r="AP185" i="13"/>
  <c r="AP188" i="13"/>
  <c r="AP190" i="13"/>
  <c r="AP191" i="13"/>
  <c r="AP192" i="13"/>
  <c r="AP194" i="13"/>
  <c r="AP195" i="13"/>
  <c r="AP196" i="13"/>
  <c r="AP198" i="13"/>
  <c r="AP199" i="13"/>
  <c r="AP200" i="13"/>
  <c r="AP201" i="13"/>
  <c r="AP202" i="13"/>
  <c r="AP203" i="13"/>
  <c r="AP204" i="13"/>
  <c r="AP205" i="13"/>
  <c r="AP206" i="13"/>
  <c r="AP208" i="13"/>
  <c r="AP209" i="13"/>
  <c r="AP210" i="13"/>
  <c r="AP212" i="13"/>
  <c r="AP213" i="13"/>
  <c r="AP214" i="13"/>
  <c r="AP216" i="13"/>
  <c r="AP217" i="13"/>
  <c r="AP218" i="13"/>
  <c r="AP220" i="13"/>
  <c r="AP221" i="13"/>
  <c r="AP222" i="13"/>
  <c r="AP226" i="13"/>
  <c r="AP228" i="13"/>
  <c r="AP229" i="13"/>
  <c r="AP231" i="13"/>
  <c r="AP232" i="13"/>
  <c r="AP233" i="13"/>
  <c r="AP234" i="13"/>
  <c r="AP235" i="13"/>
  <c r="AP236" i="13"/>
  <c r="AP238" i="13"/>
  <c r="AP239" i="13"/>
  <c r="AP241" i="13"/>
  <c r="AP243" i="13"/>
  <c r="AP244" i="13"/>
  <c r="AP245" i="13"/>
  <c r="AP246" i="13"/>
  <c r="AP247" i="13"/>
  <c r="AP248" i="13"/>
  <c r="AP249" i="13"/>
  <c r="AP251" i="13"/>
  <c r="AP252" i="13"/>
  <c r="AP253" i="13"/>
  <c r="AP254" i="13"/>
  <c r="AP256" i="13"/>
  <c r="AP257" i="13"/>
  <c r="AP259" i="13"/>
  <c r="AP260" i="13"/>
  <c r="AP261" i="13"/>
  <c r="AP263" i="13"/>
  <c r="AP265" i="13"/>
  <c r="AP266" i="13"/>
  <c r="AP268" i="13"/>
  <c r="AP269" i="13"/>
  <c r="AP270" i="13"/>
  <c r="AP272" i="13"/>
  <c r="AP274" i="13"/>
  <c r="AP275" i="13" s="1"/>
  <c r="AP281" i="13"/>
  <c r="AP282" i="13"/>
  <c r="AP283" i="13"/>
  <c r="AP284" i="13"/>
  <c r="AP285" i="13"/>
  <c r="AP286" i="13"/>
  <c r="AP287" i="13"/>
  <c r="AP291" i="13"/>
  <c r="AP292" i="13"/>
  <c r="AP293" i="13"/>
  <c r="AP294" i="13"/>
  <c r="AP295" i="13"/>
  <c r="AP296" i="13"/>
  <c r="AP297" i="13"/>
  <c r="AP298" i="13"/>
  <c r="AP299" i="13"/>
  <c r="AP300" i="13"/>
  <c r="AP301" i="13"/>
  <c r="AP302" i="13"/>
  <c r="AP303" i="13"/>
  <c r="AP92" i="13"/>
  <c r="S16" i="12" l="1"/>
  <c r="AW305" i="13"/>
  <c r="BG300" i="13"/>
  <c r="BG296" i="13"/>
  <c r="BG292" i="13"/>
  <c r="U16" i="12"/>
  <c r="AP215" i="13"/>
  <c r="AP227" i="13"/>
  <c r="AP189" i="13"/>
  <c r="AP144" i="13"/>
  <c r="AP112" i="13"/>
  <c r="AP106" i="13"/>
  <c r="AP100" i="13"/>
  <c r="AP95" i="13"/>
  <c r="AR258" i="13"/>
  <c r="AR255" i="13"/>
  <c r="AR237" i="13"/>
  <c r="AR189" i="13"/>
  <c r="AR144" i="13"/>
  <c r="AR112" i="13"/>
  <c r="AR106" i="13"/>
  <c r="AR100" i="13"/>
  <c r="AR95" i="13"/>
  <c r="AT267" i="13"/>
  <c r="AT262" i="13"/>
  <c r="AT240" i="13"/>
  <c r="AT230" i="13"/>
  <c r="AT223" i="13"/>
  <c r="AT211" i="13"/>
  <c r="AT197" i="13"/>
  <c r="AT193" i="13"/>
  <c r="AT186" i="13"/>
  <c r="AT176" i="13"/>
  <c r="AT170" i="13"/>
  <c r="AT158" i="13"/>
  <c r="AT124" i="13"/>
  <c r="AT119" i="13"/>
  <c r="AV207" i="13"/>
  <c r="AV181" i="13"/>
  <c r="AV166" i="13"/>
  <c r="AV148" i="13"/>
  <c r="AV141" i="13"/>
  <c r="AV115" i="13"/>
  <c r="AV109" i="13"/>
  <c r="AV103" i="13"/>
  <c r="AQ100" i="13"/>
  <c r="AQ95" i="13"/>
  <c r="AQ258" i="13"/>
  <c r="AQ255" i="13"/>
  <c r="AQ237" i="13"/>
  <c r="AQ219" i="13"/>
  <c r="AQ207" i="13"/>
  <c r="AQ176" i="13"/>
  <c r="AQ170" i="13"/>
  <c r="AQ158" i="13"/>
  <c r="AQ112" i="13"/>
  <c r="AQ106" i="13"/>
  <c r="AU207" i="13"/>
  <c r="AU181" i="13"/>
  <c r="AU176" i="13"/>
  <c r="AU170" i="13"/>
  <c r="AU158" i="13"/>
  <c r="AU119" i="13"/>
  <c r="AS230" i="13"/>
  <c r="AS223" i="13"/>
  <c r="AS211" i="13"/>
  <c r="AS197" i="13"/>
  <c r="AS193" i="13"/>
  <c r="AS144" i="13"/>
  <c r="AS127" i="13"/>
  <c r="AW271" i="13"/>
  <c r="AW258" i="13"/>
  <c r="AW255" i="13"/>
  <c r="AW237" i="13"/>
  <c r="AW219" i="13"/>
  <c r="AW215" i="13"/>
  <c r="AW181" i="13"/>
  <c r="AW166" i="13"/>
  <c r="AW148" i="13"/>
  <c r="AW141" i="13"/>
  <c r="AW115" i="13"/>
  <c r="AW109" i="13"/>
  <c r="AW103" i="13"/>
  <c r="AV223" i="13"/>
  <c r="AU230" i="13"/>
  <c r="AP255" i="13"/>
  <c r="AP250" i="13"/>
  <c r="AP262" i="13"/>
  <c r="AP240" i="13"/>
  <c r="AP230" i="13"/>
  <c r="AP223" i="13"/>
  <c r="AP211" i="13"/>
  <c r="AP197" i="13"/>
  <c r="AP193" i="13"/>
  <c r="AP186" i="13"/>
  <c r="AP176" i="13"/>
  <c r="AP170" i="13"/>
  <c r="AP158" i="13"/>
  <c r="AP124" i="13"/>
  <c r="AP119" i="13"/>
  <c r="AR271" i="13"/>
  <c r="AR273" i="13" s="1"/>
  <c r="AR250" i="13"/>
  <c r="AR227" i="13"/>
  <c r="AR223" i="13"/>
  <c r="AR211" i="13"/>
  <c r="AR197" i="13"/>
  <c r="AR193" i="13"/>
  <c r="AR186" i="13"/>
  <c r="AR176" i="13"/>
  <c r="AR170" i="13"/>
  <c r="AR158" i="13"/>
  <c r="AR124" i="13"/>
  <c r="AR119" i="13"/>
  <c r="AT207" i="13"/>
  <c r="AT181" i="13"/>
  <c r="AT166" i="13"/>
  <c r="AT148" i="13"/>
  <c r="AT141" i="13"/>
  <c r="AT115" i="13"/>
  <c r="AT109" i="13"/>
  <c r="AT103" i="13"/>
  <c r="AV258" i="13"/>
  <c r="AV255" i="13"/>
  <c r="AV237" i="13"/>
  <c r="AV219" i="13"/>
  <c r="AV215" i="13"/>
  <c r="AV162" i="13"/>
  <c r="AV136" i="13"/>
  <c r="AV127" i="13"/>
  <c r="AQ267" i="13"/>
  <c r="AQ250" i="13"/>
  <c r="AQ215" i="13"/>
  <c r="AQ181" i="13"/>
  <c r="AQ166" i="13"/>
  <c r="AQ148" i="13"/>
  <c r="AQ141" i="13"/>
  <c r="AQ124" i="13"/>
  <c r="AQ119" i="13"/>
  <c r="AU305" i="13"/>
  <c r="AU258" i="13"/>
  <c r="AU255" i="13"/>
  <c r="AU237" i="13"/>
  <c r="AU219" i="13"/>
  <c r="AU215" i="13"/>
  <c r="AU166" i="13"/>
  <c r="AU148" i="13"/>
  <c r="AU141" i="13"/>
  <c r="AU136" i="13"/>
  <c r="AU127" i="13"/>
  <c r="AU115" i="13"/>
  <c r="AU109" i="13"/>
  <c r="AU103" i="13"/>
  <c r="AS258" i="13"/>
  <c r="AS255" i="13"/>
  <c r="AS207" i="13"/>
  <c r="AS186" i="13"/>
  <c r="AS176" i="13"/>
  <c r="AS170" i="13"/>
  <c r="AS158" i="13"/>
  <c r="AS112" i="13"/>
  <c r="AS106" i="13"/>
  <c r="AS100" i="13"/>
  <c r="AS95" i="13"/>
  <c r="AW267" i="13"/>
  <c r="AW250" i="13"/>
  <c r="AW189" i="13"/>
  <c r="AW162" i="13"/>
  <c r="AW136" i="13"/>
  <c r="AW127" i="13"/>
  <c r="AS240" i="13"/>
  <c r="AS305" i="13"/>
  <c r="AO271" i="13"/>
  <c r="AO273" i="13" s="1"/>
  <c r="AP258" i="13"/>
  <c r="AP237" i="13"/>
  <c r="AP271" i="13"/>
  <c r="AP267" i="13"/>
  <c r="AP207" i="13"/>
  <c r="AP181" i="13"/>
  <c r="AP166" i="13"/>
  <c r="AP148" i="13"/>
  <c r="AP141" i="13"/>
  <c r="AP115" i="13"/>
  <c r="AP109" i="13"/>
  <c r="AP103" i="13"/>
  <c r="AR267" i="13"/>
  <c r="AR262" i="13"/>
  <c r="AR264" i="13" s="1"/>
  <c r="AR240" i="13"/>
  <c r="AR230" i="13"/>
  <c r="AR207" i="13"/>
  <c r="AR181" i="13"/>
  <c r="AR166" i="13"/>
  <c r="AR148" i="13"/>
  <c r="AR141" i="13"/>
  <c r="AR115" i="13"/>
  <c r="AR109" i="13"/>
  <c r="AR103" i="13"/>
  <c r="AT258" i="13"/>
  <c r="AT255" i="13"/>
  <c r="AT242" i="13"/>
  <c r="AT237" i="13"/>
  <c r="AT219" i="13"/>
  <c r="AT215" i="13"/>
  <c r="AT162" i="13"/>
  <c r="AT136" i="13"/>
  <c r="AT127" i="13"/>
  <c r="AV305" i="13"/>
  <c r="AV271" i="13"/>
  <c r="AV273" i="13" s="1"/>
  <c r="AV250" i="13"/>
  <c r="AV227" i="13"/>
  <c r="AV189" i="13"/>
  <c r="AV144" i="13"/>
  <c r="AV112" i="13"/>
  <c r="AV106" i="13"/>
  <c r="AV100" i="13"/>
  <c r="AV95" i="13"/>
  <c r="AQ305" i="13"/>
  <c r="AQ262" i="13"/>
  <c r="AQ264" i="13" s="1"/>
  <c r="AQ240" i="13"/>
  <c r="AQ230" i="13"/>
  <c r="AQ223" i="13"/>
  <c r="AQ189" i="13"/>
  <c r="AQ162" i="13"/>
  <c r="AQ136" i="13"/>
  <c r="AQ115" i="13"/>
  <c r="AQ109" i="13"/>
  <c r="AQ103" i="13"/>
  <c r="AU271" i="13"/>
  <c r="AU273" i="13" s="1"/>
  <c r="AU250" i="13"/>
  <c r="AU189" i="13"/>
  <c r="AU162" i="13"/>
  <c r="AS271" i="13"/>
  <c r="AS273" i="13" s="1"/>
  <c r="AS250" i="13"/>
  <c r="AS237" i="13"/>
  <c r="AS219" i="13"/>
  <c r="AS215" i="13"/>
  <c r="AS181" i="13"/>
  <c r="AS166" i="13"/>
  <c r="AS148" i="13"/>
  <c r="AS141" i="13"/>
  <c r="AS124" i="13"/>
  <c r="AS119" i="13"/>
  <c r="AW262" i="13"/>
  <c r="AW240" i="13"/>
  <c r="AW242" i="13" s="1"/>
  <c r="AW230" i="13"/>
  <c r="AW223" i="13"/>
  <c r="AW211" i="13"/>
  <c r="AW197" i="13"/>
  <c r="AW193" i="13"/>
  <c r="AW144" i="13"/>
  <c r="AW112" i="13"/>
  <c r="AW106" i="13"/>
  <c r="AW100" i="13"/>
  <c r="AW95" i="13"/>
  <c r="AQ186" i="13"/>
  <c r="AO307" i="13"/>
  <c r="AR305" i="13"/>
  <c r="AP273" i="13"/>
  <c r="AP219" i="13"/>
  <c r="AP162" i="13"/>
  <c r="AP136" i="13"/>
  <c r="AP127" i="13"/>
  <c r="AR219" i="13"/>
  <c r="AR215" i="13"/>
  <c r="AR162" i="13"/>
  <c r="AR136" i="13"/>
  <c r="AR127" i="13"/>
  <c r="AT305" i="13"/>
  <c r="AT271" i="13"/>
  <c r="AT273" i="13" s="1"/>
  <c r="AT250" i="13"/>
  <c r="AT227" i="13"/>
  <c r="AT189" i="13"/>
  <c r="AT144" i="13"/>
  <c r="AT112" i="13"/>
  <c r="AT106" i="13"/>
  <c r="AT100" i="13"/>
  <c r="AT95" i="13"/>
  <c r="AV267" i="13"/>
  <c r="AV262" i="13"/>
  <c r="AV264" i="13" s="1"/>
  <c r="AV240" i="13"/>
  <c r="AV242" i="13" s="1"/>
  <c r="AV230" i="13"/>
  <c r="AV211" i="13"/>
  <c r="AV197" i="13"/>
  <c r="AV193" i="13"/>
  <c r="AV186" i="13"/>
  <c r="AV176" i="13"/>
  <c r="AV170" i="13"/>
  <c r="AV158" i="13"/>
  <c r="AV124" i="13"/>
  <c r="AV119" i="13"/>
  <c r="AQ271" i="13"/>
  <c r="AQ273" i="13" s="1"/>
  <c r="AQ211" i="13"/>
  <c r="AQ197" i="13"/>
  <c r="AQ193" i="13"/>
  <c r="AQ144" i="13"/>
  <c r="AQ127" i="13"/>
  <c r="AU267" i="13"/>
  <c r="AU262" i="13"/>
  <c r="AU240" i="13"/>
  <c r="AU227" i="13"/>
  <c r="AU223" i="13"/>
  <c r="AU211" i="13"/>
  <c r="AU197" i="13"/>
  <c r="AU193" i="13"/>
  <c r="AU186" i="13"/>
  <c r="AU144" i="13"/>
  <c r="AU124" i="13"/>
  <c r="AU112" i="13"/>
  <c r="AU106" i="13"/>
  <c r="AU100" i="13"/>
  <c r="AU95" i="13"/>
  <c r="AS267" i="13"/>
  <c r="AS262" i="13"/>
  <c r="AS189" i="13"/>
  <c r="AS162" i="13"/>
  <c r="AS136" i="13"/>
  <c r="AS115" i="13"/>
  <c r="AS109" i="13"/>
  <c r="AS103" i="13"/>
  <c r="AW273" i="13"/>
  <c r="AW207" i="13"/>
  <c r="AW186" i="13"/>
  <c r="AW176" i="13"/>
  <c r="AW170" i="13"/>
  <c r="AW158" i="13"/>
  <c r="AW124" i="13"/>
  <c r="AW119" i="13"/>
  <c r="AO262" i="13"/>
  <c r="AO250" i="13"/>
  <c r="AO240" i="13"/>
  <c r="AO258" i="13"/>
  <c r="AO230" i="13"/>
  <c r="AO305" i="13"/>
  <c r="AO267" i="13"/>
  <c r="AO255" i="13"/>
  <c r="R16" i="12"/>
  <c r="T16" i="12"/>
  <c r="AP305" i="13"/>
  <c r="AF258" i="13"/>
  <c r="AG258" i="13"/>
  <c r="AL258" i="13"/>
  <c r="AM258" i="13"/>
  <c r="AF255" i="13"/>
  <c r="AG255" i="13"/>
  <c r="AL255" i="13"/>
  <c r="AM255" i="13"/>
  <c r="AF250" i="13"/>
  <c r="AG250" i="13"/>
  <c r="AL250" i="13"/>
  <c r="AM250" i="13"/>
  <c r="AN244" i="13"/>
  <c r="BF244" i="13" s="1"/>
  <c r="AN245" i="13"/>
  <c r="BF245" i="13" s="1"/>
  <c r="AN246" i="13"/>
  <c r="BF246" i="13" s="1"/>
  <c r="AN247" i="13"/>
  <c r="BF247" i="13" s="1"/>
  <c r="AN248" i="13"/>
  <c r="BF248" i="13" s="1"/>
  <c r="AN249" i="13"/>
  <c r="BF249" i="13" s="1"/>
  <c r="AN259" i="13"/>
  <c r="BF259" i="13" s="1"/>
  <c r="AN243" i="13"/>
  <c r="BF243" i="13" s="1"/>
  <c r="AK248" i="13"/>
  <c r="AK245" i="13"/>
  <c r="AK253" i="13"/>
  <c r="AJ263" i="13"/>
  <c r="AJ261" i="13"/>
  <c r="AJ247" i="13"/>
  <c r="AJ245" i="13"/>
  <c r="AJ253" i="13"/>
  <c r="AI256" i="13"/>
  <c r="AI251" i="13"/>
  <c r="AI243" i="13"/>
  <c r="AH243" i="13"/>
  <c r="AH256" i="13"/>
  <c r="AH251" i="13"/>
  <c r="AF262" i="13"/>
  <c r="AF264" i="13" s="1"/>
  <c r="AG262" i="13"/>
  <c r="AG264" i="13" s="1"/>
  <c r="AH244" i="13"/>
  <c r="AH245" i="13"/>
  <c r="AH246" i="13"/>
  <c r="AH247" i="13"/>
  <c r="AH248" i="13"/>
  <c r="AH249" i="13"/>
  <c r="AH252" i="13"/>
  <c r="AH253" i="13"/>
  <c r="AH254" i="13"/>
  <c r="AH257" i="13"/>
  <c r="AH259" i="13"/>
  <c r="AH260" i="13"/>
  <c r="AH261" i="13"/>
  <c r="AH263" i="13"/>
  <c r="AP242" i="13" l="1"/>
  <c r="AW264" i="13"/>
  <c r="AS225" i="13"/>
  <c r="AQ242" i="13"/>
  <c r="AS264" i="13"/>
  <c r="AP137" i="13"/>
  <c r="AS242" i="13"/>
  <c r="AU242" i="13"/>
  <c r="AP264" i="13"/>
  <c r="AO242" i="13"/>
  <c r="AU264" i="13"/>
  <c r="AT264" i="13"/>
  <c r="AR242" i="13"/>
  <c r="AS137" i="13"/>
  <c r="AU187" i="13"/>
  <c r="AU225" i="13"/>
  <c r="AV187" i="13"/>
  <c r="AR137" i="13"/>
  <c r="AQ225" i="13"/>
  <c r="AR225" i="13"/>
  <c r="BF250" i="13"/>
  <c r="AW225" i="13"/>
  <c r="AT225" i="13"/>
  <c r="AW187" i="13"/>
  <c r="AV225" i="13"/>
  <c r="AW137" i="13"/>
  <c r="AU137" i="13"/>
  <c r="AT187" i="13"/>
  <c r="AQ187" i="13"/>
  <c r="AQ137" i="13"/>
  <c r="AS187" i="13"/>
  <c r="AR187" i="13"/>
  <c r="AT137" i="13"/>
  <c r="AV137" i="13"/>
  <c r="AP187" i="13"/>
  <c r="AP225" i="13"/>
  <c r="AH262" i="13"/>
  <c r="AO264" i="13"/>
  <c r="AH250" i="13"/>
  <c r="AN250" i="13"/>
  <c r="AH258" i="13"/>
  <c r="AH255" i="13"/>
  <c r="AH264" i="13" l="1"/>
  <c r="AM278" i="13"/>
  <c r="AM279" i="13"/>
  <c r="AM277" i="13"/>
  <c r="AM280" i="13"/>
  <c r="AM281" i="13"/>
  <c r="AM282" i="13"/>
  <c r="AM283" i="13"/>
  <c r="AM284" i="13"/>
  <c r="AM285" i="13"/>
  <c r="AM286" i="13"/>
  <c r="AK283" i="13"/>
  <c r="AK282" i="13"/>
  <c r="AI277" i="13"/>
  <c r="AI278" i="13"/>
  <c r="AI279" i="13"/>
  <c r="AI280" i="13"/>
  <c r="AI281" i="13"/>
  <c r="AI282" i="13"/>
  <c r="AI276" i="13"/>
  <c r="Q6" i="12"/>
  <c r="Q7" i="12"/>
  <c r="Q8" i="12"/>
  <c r="Q9" i="12"/>
  <c r="Q10" i="12"/>
  <c r="Q11" i="12"/>
  <c r="Q12" i="12"/>
  <c r="Q13" i="12"/>
  <c r="Q14" i="12"/>
  <c r="Q15" i="12"/>
  <c r="Q5" i="12"/>
  <c r="Q4" i="12"/>
  <c r="Q16" i="12" s="1"/>
  <c r="O7" i="12"/>
  <c r="O8" i="12"/>
  <c r="O9" i="12"/>
  <c r="O10" i="12"/>
  <c r="O11" i="12"/>
  <c r="O12" i="12"/>
  <c r="O13" i="12"/>
  <c r="O14" i="12"/>
  <c r="O15" i="12"/>
  <c r="O6" i="12"/>
  <c r="O5" i="12"/>
  <c r="O4" i="12"/>
  <c r="O16" i="12" s="1"/>
  <c r="AI302" i="13"/>
  <c r="AI303" i="13"/>
  <c r="AI294" i="13"/>
  <c r="AI295" i="13"/>
  <c r="AI296" i="13"/>
  <c r="AI297" i="13"/>
  <c r="AI298" i="13"/>
  <c r="AI299" i="13"/>
  <c r="AI300" i="13"/>
  <c r="AI301" i="13"/>
  <c r="AI290" i="13"/>
  <c r="AI291" i="13"/>
  <c r="AI292" i="13"/>
  <c r="AI293" i="13"/>
  <c r="AI283" i="13"/>
  <c r="AI284" i="13"/>
  <c r="AI285" i="13"/>
  <c r="AI286" i="13"/>
  <c r="AI287" i="13"/>
  <c r="N8" i="12"/>
  <c r="N9" i="12"/>
  <c r="N10" i="12"/>
  <c r="N11" i="12"/>
  <c r="N12" i="12"/>
  <c r="N13" i="12"/>
  <c r="N14" i="12"/>
  <c r="N15" i="12"/>
  <c r="N7" i="12"/>
  <c r="N6" i="12"/>
  <c r="N5" i="12"/>
  <c r="N4" i="12"/>
  <c r="N16" i="12" s="1"/>
  <c r="AH281" i="13"/>
  <c r="AH280" i="13"/>
  <c r="AH279" i="13"/>
  <c r="AH278" i="13"/>
  <c r="AH277" i="13"/>
  <c r="AH276" i="13"/>
  <c r="P5" i="12"/>
  <c r="P6" i="12"/>
  <c r="P7" i="12"/>
  <c r="P8" i="12"/>
  <c r="P9" i="12"/>
  <c r="P10" i="12"/>
  <c r="P11" i="12"/>
  <c r="P12" i="12"/>
  <c r="P13" i="12"/>
  <c r="P14" i="12"/>
  <c r="P15" i="12"/>
  <c r="P4" i="12"/>
  <c r="AH282" i="13"/>
  <c r="AH283" i="13"/>
  <c r="AH284" i="13"/>
  <c r="AH285" i="13"/>
  <c r="AH286" i="13"/>
  <c r="AH287" i="13"/>
  <c r="AH291" i="13"/>
  <c r="AZ291" i="13" s="1"/>
  <c r="AH292" i="13"/>
  <c r="AH293" i="13"/>
  <c r="AH294" i="13"/>
  <c r="AH295" i="13"/>
  <c r="AH296" i="13"/>
  <c r="AH297" i="13"/>
  <c r="AH298" i="13"/>
  <c r="AH299" i="13"/>
  <c r="AH300" i="13"/>
  <c r="AH301" i="13"/>
  <c r="AH302" i="13"/>
  <c r="AH303" i="13"/>
  <c r="AI274" i="13"/>
  <c r="AI272" i="13"/>
  <c r="AI268" i="13"/>
  <c r="AI269" i="13"/>
  <c r="AI270" i="13"/>
  <c r="AH272" i="13"/>
  <c r="AH268" i="13"/>
  <c r="AH270" i="13"/>
  <c r="AH269" i="13"/>
  <c r="AF271" i="13"/>
  <c r="AF273" i="13" s="1"/>
  <c r="AG271" i="13"/>
  <c r="AG273" i="13" s="1"/>
  <c r="AK272" i="13"/>
  <c r="AJ272" i="13"/>
  <c r="AM272" i="13"/>
  <c r="AI266" i="13"/>
  <c r="AH265" i="13"/>
  <c r="AH266" i="13"/>
  <c r="AI228" i="13"/>
  <c r="AI232" i="13"/>
  <c r="AI235" i="13"/>
  <c r="AI241" i="13"/>
  <c r="AH238" i="13"/>
  <c r="AH241" i="13"/>
  <c r="AF230" i="13"/>
  <c r="AG230" i="13"/>
  <c r="AF237" i="13"/>
  <c r="AG237" i="13"/>
  <c r="AF240" i="13"/>
  <c r="AG240" i="13"/>
  <c r="AI239" i="13"/>
  <c r="AI229" i="13"/>
  <c r="AI231" i="13"/>
  <c r="AI233" i="13"/>
  <c r="AI234" i="13"/>
  <c r="AI236" i="13"/>
  <c r="AI238" i="13"/>
  <c r="AH229" i="13"/>
  <c r="AH231" i="13"/>
  <c r="AH232" i="13"/>
  <c r="AH233" i="13"/>
  <c r="AH234" i="13"/>
  <c r="AH235" i="13"/>
  <c r="AH236" i="13"/>
  <c r="AH239" i="13"/>
  <c r="AH228" i="13"/>
  <c r="AM238" i="13"/>
  <c r="AO226" i="13"/>
  <c r="AJ231" i="13"/>
  <c r="AJ241" i="13"/>
  <c r="AJ232" i="13"/>
  <c r="AK226" i="13"/>
  <c r="AJ226" i="13"/>
  <c r="AI226" i="13"/>
  <c r="AH226" i="13"/>
  <c r="AO194" i="13"/>
  <c r="AO199" i="13"/>
  <c r="AO224" i="13"/>
  <c r="AO216" i="13"/>
  <c r="AN208" i="13"/>
  <c r="AM188" i="13"/>
  <c r="AM189" i="13" s="1"/>
  <c r="AM198" i="13"/>
  <c r="AL221" i="13"/>
  <c r="AK198" i="13"/>
  <c r="AI201" i="13"/>
  <c r="AI208" i="13"/>
  <c r="AI216" i="13"/>
  <c r="AI224" i="13"/>
  <c r="AH200" i="13"/>
  <c r="AH196" i="13"/>
  <c r="AH195" i="13"/>
  <c r="AH190" i="13"/>
  <c r="AH188" i="13"/>
  <c r="AH189" i="13" s="1"/>
  <c r="AF223" i="13"/>
  <c r="AG223" i="13"/>
  <c r="AF219" i="13"/>
  <c r="AG219" i="13"/>
  <c r="AF215" i="13"/>
  <c r="AG215" i="13"/>
  <c r="AF211" i="13"/>
  <c r="AG211" i="13"/>
  <c r="AF207" i="13"/>
  <c r="AG207" i="13"/>
  <c r="AF197" i="13"/>
  <c r="AG197" i="13"/>
  <c r="AF193" i="13"/>
  <c r="AG193" i="13"/>
  <c r="AF189" i="13"/>
  <c r="AG189" i="13"/>
  <c r="AK190" i="13"/>
  <c r="AK191" i="13"/>
  <c r="AK192" i="13"/>
  <c r="AK194" i="13"/>
  <c r="AK195" i="13"/>
  <c r="AK196" i="13"/>
  <c r="AK199" i="13"/>
  <c r="AK200" i="13"/>
  <c r="AK201" i="13"/>
  <c r="AK202" i="13"/>
  <c r="AK203" i="13"/>
  <c r="AK204" i="13"/>
  <c r="AK205" i="13"/>
  <c r="AK206" i="13"/>
  <c r="AK208" i="13"/>
  <c r="AK209" i="13"/>
  <c r="AK210" i="13"/>
  <c r="AK212" i="13"/>
  <c r="AK213" i="13"/>
  <c r="AK214" i="13"/>
  <c r="AK216" i="13"/>
  <c r="AK217" i="13"/>
  <c r="AK218" i="13"/>
  <c r="AK220" i="13"/>
  <c r="AK221" i="13"/>
  <c r="AK222" i="13"/>
  <c r="AK224" i="13"/>
  <c r="AK188" i="13"/>
  <c r="AI190" i="13"/>
  <c r="AI191" i="13"/>
  <c r="AI192" i="13"/>
  <c r="AI194" i="13"/>
  <c r="AI195" i="13"/>
  <c r="AI196" i="13"/>
  <c r="AI198" i="13"/>
  <c r="AI199" i="13"/>
  <c r="AI200" i="13"/>
  <c r="AI202" i="13"/>
  <c r="AI203" i="13"/>
  <c r="AI204" i="13"/>
  <c r="AI205" i="13"/>
  <c r="AI206" i="13"/>
  <c r="AI209" i="13"/>
  <c r="AI210" i="13"/>
  <c r="AI212" i="13"/>
  <c r="AI213" i="13"/>
  <c r="AI214" i="13"/>
  <c r="AI217" i="13"/>
  <c r="AI218" i="13"/>
  <c r="AI220" i="13"/>
  <c r="AI221" i="13"/>
  <c r="AI222" i="13"/>
  <c r="AI188" i="13"/>
  <c r="AH191" i="13"/>
  <c r="AH192" i="13"/>
  <c r="AH194" i="13"/>
  <c r="AH198" i="13"/>
  <c r="AH199" i="13"/>
  <c r="AH201" i="13"/>
  <c r="AH202" i="13"/>
  <c r="AH203" i="13"/>
  <c r="AH204" i="13"/>
  <c r="AH205" i="13"/>
  <c r="AH206" i="13"/>
  <c r="AH208" i="13"/>
  <c r="AH209" i="13"/>
  <c r="AH210" i="13"/>
  <c r="AH212" i="13"/>
  <c r="AH213" i="13"/>
  <c r="AH214" i="13"/>
  <c r="AH216" i="13"/>
  <c r="AH217" i="13"/>
  <c r="AH218" i="13"/>
  <c r="AH220" i="13"/>
  <c r="AH221" i="13"/>
  <c r="AH222" i="13"/>
  <c r="AH224" i="13"/>
  <c r="AI138" i="13"/>
  <c r="AI163" i="13"/>
  <c r="AI149" i="13"/>
  <c r="AI183" i="13"/>
  <c r="AH149" i="13"/>
  <c r="AH163" i="13"/>
  <c r="AF141" i="13"/>
  <c r="AG141" i="13"/>
  <c r="AF144" i="13"/>
  <c r="AG144" i="13"/>
  <c r="AF148" i="13"/>
  <c r="AG148" i="13"/>
  <c r="AF158" i="13"/>
  <c r="AG158" i="13"/>
  <c r="AF162" i="13"/>
  <c r="AG162" i="13"/>
  <c r="AF166" i="13"/>
  <c r="AG166" i="13"/>
  <c r="AF170" i="13"/>
  <c r="AG170" i="13"/>
  <c r="AF176" i="13"/>
  <c r="AG176" i="13"/>
  <c r="AF181" i="13"/>
  <c r="AG181" i="13"/>
  <c r="AF186" i="13"/>
  <c r="AG186" i="13"/>
  <c r="AH139" i="13"/>
  <c r="AH140" i="13"/>
  <c r="AH142" i="13"/>
  <c r="AH143" i="13"/>
  <c r="AH145" i="13"/>
  <c r="AH146" i="13"/>
  <c r="AH147" i="13"/>
  <c r="AH150" i="13"/>
  <c r="AH151" i="13"/>
  <c r="AH152" i="13"/>
  <c r="AH153" i="13"/>
  <c r="AH154" i="13"/>
  <c r="AH155" i="13"/>
  <c r="AH156" i="13"/>
  <c r="AH157" i="13"/>
  <c r="AH159" i="13"/>
  <c r="AH160" i="13"/>
  <c r="AH161" i="13"/>
  <c r="AH164" i="13"/>
  <c r="AH165" i="13"/>
  <c r="AH167" i="13"/>
  <c r="AH168" i="13"/>
  <c r="AH169" i="13"/>
  <c r="AH171" i="13"/>
  <c r="AH172" i="13"/>
  <c r="AH173" i="13"/>
  <c r="AH174" i="13"/>
  <c r="AH175" i="13"/>
  <c r="AH177" i="13"/>
  <c r="AH178" i="13"/>
  <c r="AH179" i="13"/>
  <c r="AH180" i="13"/>
  <c r="AH182" i="13"/>
  <c r="AH183" i="13"/>
  <c r="AH184" i="13"/>
  <c r="AH185" i="13"/>
  <c r="AH138" i="13"/>
  <c r="P16" i="12" l="1"/>
  <c r="AI211" i="13"/>
  <c r="AH230" i="13"/>
  <c r="AK189" i="13"/>
  <c r="AH197" i="13"/>
  <c r="AH225" i="13" s="1"/>
  <c r="AH237" i="13"/>
  <c r="AI189" i="13"/>
  <c r="AI197" i="13"/>
  <c r="AK223" i="13"/>
  <c r="AK211" i="13"/>
  <c r="AI271" i="13"/>
  <c r="AI273" i="13" s="1"/>
  <c r="AH181" i="13"/>
  <c r="AH166" i="13"/>
  <c r="AH144" i="13"/>
  <c r="AH193" i="13"/>
  <c r="AI193" i="13"/>
  <c r="AK219" i="13"/>
  <c r="AK215" i="13"/>
  <c r="AH207" i="13"/>
  <c r="AH162" i="13"/>
  <c r="AH141" i="13"/>
  <c r="AK197" i="13"/>
  <c r="AK193" i="13"/>
  <c r="AI240" i="13"/>
  <c r="AH158" i="13"/>
  <c r="AH219" i="13"/>
  <c r="AH215" i="13"/>
  <c r="AI219" i="13"/>
  <c r="AG225" i="13"/>
  <c r="AH240" i="13"/>
  <c r="AH242" i="13" s="1"/>
  <c r="AI230" i="13"/>
  <c r="AH148" i="13"/>
  <c r="AI215" i="13"/>
  <c r="AK207" i="13"/>
  <c r="AH186" i="13"/>
  <c r="AH176" i="13"/>
  <c r="AH170" i="13"/>
  <c r="AH223" i="13"/>
  <c r="AH211" i="13"/>
  <c r="AI223" i="13"/>
  <c r="AI207" i="13"/>
  <c r="AF242" i="13"/>
  <c r="AF225" i="13"/>
  <c r="AG242" i="13"/>
  <c r="AI237" i="13"/>
  <c r="AH271" i="13"/>
  <c r="AH273" i="13" s="1"/>
  <c r="AG187" i="13"/>
  <c r="AF187" i="13"/>
  <c r="AM177" i="13"/>
  <c r="AM173" i="13"/>
  <c r="AM172" i="13"/>
  <c r="AM167" i="13"/>
  <c r="AM163" i="13"/>
  <c r="AM149" i="13"/>
  <c r="AM145" i="13"/>
  <c r="AO160" i="13"/>
  <c r="AO149" i="13"/>
  <c r="AO138" i="13"/>
  <c r="AO96" i="13"/>
  <c r="BG96" i="13" s="1"/>
  <c r="AK174" i="13"/>
  <c r="AK149" i="13"/>
  <c r="AK173" i="13"/>
  <c r="AK172" i="13"/>
  <c r="AK177" i="13"/>
  <c r="AJ139" i="13"/>
  <c r="AJ140" i="13"/>
  <c r="AJ142" i="13"/>
  <c r="AJ143" i="13"/>
  <c r="AJ145" i="13"/>
  <c r="AJ146" i="13"/>
  <c r="AJ147" i="13"/>
  <c r="AJ149" i="13"/>
  <c r="AJ150" i="13"/>
  <c r="AJ151" i="13"/>
  <c r="AJ152" i="13"/>
  <c r="AJ153" i="13"/>
  <c r="AJ154" i="13"/>
  <c r="AJ155" i="13"/>
  <c r="AJ156" i="13"/>
  <c r="AJ157" i="13"/>
  <c r="AJ159" i="13"/>
  <c r="AJ160" i="13"/>
  <c r="AJ161" i="13"/>
  <c r="AJ163" i="13"/>
  <c r="AJ164" i="13"/>
  <c r="AJ165" i="13"/>
  <c r="AJ167" i="13"/>
  <c r="AJ168" i="13"/>
  <c r="AJ169" i="13"/>
  <c r="AJ171" i="13"/>
  <c r="AJ172" i="13"/>
  <c r="AJ173" i="13"/>
  <c r="AJ174" i="13"/>
  <c r="AJ175" i="13"/>
  <c r="AJ177" i="13"/>
  <c r="AJ178" i="13"/>
  <c r="AJ179" i="13"/>
  <c r="AJ180" i="13"/>
  <c r="AJ182" i="13"/>
  <c r="AJ183" i="13"/>
  <c r="AJ184" i="13"/>
  <c r="AJ185" i="13"/>
  <c r="AJ138" i="13"/>
  <c r="AO121" i="13"/>
  <c r="BG121" i="13" s="1"/>
  <c r="AO108" i="13"/>
  <c r="BG108" i="13" s="1"/>
  <c r="AO104" i="13"/>
  <c r="AO93" i="13"/>
  <c r="AK130" i="13"/>
  <c r="AL130" i="13"/>
  <c r="AJ107" i="13"/>
  <c r="AJ97" i="13"/>
  <c r="AJ130" i="13"/>
  <c r="AI92" i="13"/>
  <c r="AI107" i="13"/>
  <c r="AI104" i="13"/>
  <c r="AI120" i="13"/>
  <c r="AI134" i="13"/>
  <c r="AH113" i="13"/>
  <c r="AH96" i="13"/>
  <c r="AH101" i="13"/>
  <c r="AH121" i="13"/>
  <c r="AH128" i="13"/>
  <c r="AH134" i="13"/>
  <c r="AH133" i="13"/>
  <c r="AH129" i="13"/>
  <c r="AH98" i="13"/>
  <c r="AH107" i="13"/>
  <c r="AH92" i="13"/>
  <c r="R136" i="13"/>
  <c r="S136" i="13"/>
  <c r="T136" i="13"/>
  <c r="U136" i="13"/>
  <c r="V136" i="13"/>
  <c r="W136" i="13"/>
  <c r="X136" i="13"/>
  <c r="Y136" i="13"/>
  <c r="AF136" i="13"/>
  <c r="AG136" i="13"/>
  <c r="R127" i="13"/>
  <c r="S127" i="13"/>
  <c r="T127" i="13"/>
  <c r="U127" i="13"/>
  <c r="V127" i="13"/>
  <c r="W127" i="13"/>
  <c r="X127" i="13"/>
  <c r="Y127" i="13"/>
  <c r="AF127" i="13"/>
  <c r="AG127" i="13"/>
  <c r="R124" i="13"/>
  <c r="S124" i="13"/>
  <c r="T124" i="13"/>
  <c r="U124" i="13"/>
  <c r="V124" i="13"/>
  <c r="W124" i="13"/>
  <c r="X124" i="13"/>
  <c r="Y124" i="13"/>
  <c r="AF124" i="13"/>
  <c r="AG124" i="13"/>
  <c r="R119" i="13"/>
  <c r="S119" i="13"/>
  <c r="T119" i="13"/>
  <c r="U119" i="13"/>
  <c r="V119" i="13"/>
  <c r="W119" i="13"/>
  <c r="X119" i="13"/>
  <c r="Y119" i="13"/>
  <c r="AF119" i="13"/>
  <c r="AG119" i="13"/>
  <c r="R115" i="13"/>
  <c r="S115" i="13"/>
  <c r="T115" i="13"/>
  <c r="U115" i="13"/>
  <c r="V115" i="13"/>
  <c r="W115" i="13"/>
  <c r="X115" i="13"/>
  <c r="Y115" i="13"/>
  <c r="AF115" i="13"/>
  <c r="AG115" i="13"/>
  <c r="R112" i="13"/>
  <c r="S112" i="13"/>
  <c r="T112" i="13"/>
  <c r="U112" i="13"/>
  <c r="V112" i="13"/>
  <c r="W112" i="13"/>
  <c r="X112" i="13"/>
  <c r="Y112" i="13"/>
  <c r="AF112" i="13"/>
  <c r="AG112" i="13"/>
  <c r="R109" i="13"/>
  <c r="S109" i="13"/>
  <c r="T109" i="13"/>
  <c r="U109" i="13"/>
  <c r="V109" i="13"/>
  <c r="W109" i="13"/>
  <c r="X109" i="13"/>
  <c r="Y109" i="13"/>
  <c r="AF109" i="13"/>
  <c r="AG109" i="13"/>
  <c r="R106" i="13"/>
  <c r="S106" i="13"/>
  <c r="T106" i="13"/>
  <c r="U106" i="13"/>
  <c r="V106" i="13"/>
  <c r="W106" i="13"/>
  <c r="X106" i="13"/>
  <c r="Y106" i="13"/>
  <c r="AF106" i="13"/>
  <c r="AG106" i="13"/>
  <c r="R103" i="13"/>
  <c r="S103" i="13"/>
  <c r="T103" i="13"/>
  <c r="U103" i="13"/>
  <c r="V103" i="13"/>
  <c r="W103" i="13"/>
  <c r="X103" i="13"/>
  <c r="Y103" i="13"/>
  <c r="AF103" i="13"/>
  <c r="AG103" i="13"/>
  <c r="R100" i="13"/>
  <c r="S100" i="13"/>
  <c r="T100" i="13"/>
  <c r="U100" i="13"/>
  <c r="V100" i="13"/>
  <c r="W100" i="13"/>
  <c r="X100" i="13"/>
  <c r="Y100" i="13"/>
  <c r="AF100" i="13"/>
  <c r="AG100" i="13"/>
  <c r="R95" i="13"/>
  <c r="S95" i="13"/>
  <c r="T95" i="13"/>
  <c r="U95" i="13"/>
  <c r="V95" i="13"/>
  <c r="W95" i="13"/>
  <c r="X95" i="13"/>
  <c r="Y95" i="13"/>
  <c r="AF95" i="13"/>
  <c r="AG95" i="13"/>
  <c r="Z227" i="13"/>
  <c r="AA227" i="13"/>
  <c r="AB227" i="13"/>
  <c r="AC227" i="13"/>
  <c r="AF227" i="13"/>
  <c r="AG227" i="13"/>
  <c r="AI227" i="13"/>
  <c r="AJ227" i="13"/>
  <c r="AK227" i="13"/>
  <c r="AL262" i="13"/>
  <c r="AL264" i="13" s="1"/>
  <c r="AM262" i="13"/>
  <c r="AM264" i="13" s="1"/>
  <c r="X250" i="13"/>
  <c r="AF267" i="13"/>
  <c r="AG267" i="13"/>
  <c r="AL267" i="13"/>
  <c r="AM267" i="13"/>
  <c r="Z275" i="13"/>
  <c r="AA275" i="13"/>
  <c r="AF275" i="13"/>
  <c r="AG275" i="13"/>
  <c r="AI275" i="13"/>
  <c r="AJ275" i="13"/>
  <c r="AK275" i="13"/>
  <c r="AL275" i="13"/>
  <c r="AM275" i="13"/>
  <c r="AF305" i="13"/>
  <c r="AG305" i="13"/>
  <c r="AJ305" i="13"/>
  <c r="AM287" i="13"/>
  <c r="AM288" i="13"/>
  <c r="AM289" i="13"/>
  <c r="AM290" i="13"/>
  <c r="AM291" i="13"/>
  <c r="AM292" i="13"/>
  <c r="AM293" i="13"/>
  <c r="AM294" i="13"/>
  <c r="AM295" i="13"/>
  <c r="AM296" i="13"/>
  <c r="AM297" i="13"/>
  <c r="AM298" i="13"/>
  <c r="AM299" i="13"/>
  <c r="AM300" i="13"/>
  <c r="AM301" i="13"/>
  <c r="AM302" i="13"/>
  <c r="AM303" i="13"/>
  <c r="AM304" i="13"/>
  <c r="AM276" i="13"/>
  <c r="AL277" i="13"/>
  <c r="AL278" i="13"/>
  <c r="AL279" i="13"/>
  <c r="AL280" i="13"/>
  <c r="AL281" i="13"/>
  <c r="AL282" i="13"/>
  <c r="AL283" i="13"/>
  <c r="AL284" i="13"/>
  <c r="AL285" i="13"/>
  <c r="AL286" i="13"/>
  <c r="AL287" i="13"/>
  <c r="AL288" i="13"/>
  <c r="AL289" i="13"/>
  <c r="AL290" i="13"/>
  <c r="AL291" i="13"/>
  <c r="AL292" i="13"/>
  <c r="AL293" i="13"/>
  <c r="AL294" i="13"/>
  <c r="AL295" i="13"/>
  <c r="AL296" i="13"/>
  <c r="AL297" i="13"/>
  <c r="AL298" i="13"/>
  <c r="AL299" i="13"/>
  <c r="AL300" i="13"/>
  <c r="AL301" i="13"/>
  <c r="AL302" i="13"/>
  <c r="AL303" i="13"/>
  <c r="AL304" i="13"/>
  <c r="AL276" i="13"/>
  <c r="AM269" i="13"/>
  <c r="AM270" i="13"/>
  <c r="AM268" i="13"/>
  <c r="AL269" i="13"/>
  <c r="AL270" i="13"/>
  <c r="AL272" i="13"/>
  <c r="AL268" i="13"/>
  <c r="AM229" i="13"/>
  <c r="AM231" i="13"/>
  <c r="AM232" i="13"/>
  <c r="AM233" i="13"/>
  <c r="AM234" i="13"/>
  <c r="AM235" i="13"/>
  <c r="AM236" i="13"/>
  <c r="AM239" i="13"/>
  <c r="AM241" i="13"/>
  <c r="AM228" i="13"/>
  <c r="AL228" i="13"/>
  <c r="AL229" i="13"/>
  <c r="AL231" i="13"/>
  <c r="AL232" i="13"/>
  <c r="AL233" i="13"/>
  <c r="AL234" i="13"/>
  <c r="AL235" i="13"/>
  <c r="AL236" i="13"/>
  <c r="AL238" i="13"/>
  <c r="AL239" i="13"/>
  <c r="AL241" i="13"/>
  <c r="V307" i="13"/>
  <c r="X307" i="13"/>
  <c r="Z307" i="13"/>
  <c r="AA307" i="13"/>
  <c r="AF307" i="13"/>
  <c r="AG307" i="13"/>
  <c r="AI307" i="13"/>
  <c r="AJ307" i="13"/>
  <c r="AK307" i="13"/>
  <c r="AL307" i="13"/>
  <c r="AM307" i="13"/>
  <c r="AK284" i="13"/>
  <c r="AK285" i="13"/>
  <c r="AK286" i="13"/>
  <c r="AK287" i="13"/>
  <c r="AK288" i="13"/>
  <c r="AK289" i="13"/>
  <c r="AK290" i="13"/>
  <c r="AK291" i="13"/>
  <c r="AK292" i="13"/>
  <c r="AK293" i="13"/>
  <c r="AK294" i="13"/>
  <c r="AK295" i="13"/>
  <c r="AK296" i="13"/>
  <c r="AK297" i="13"/>
  <c r="AK298" i="13"/>
  <c r="AK299" i="13"/>
  <c r="AK300" i="13"/>
  <c r="AK301" i="13"/>
  <c r="AK302" i="13"/>
  <c r="AK303" i="13"/>
  <c r="AK304" i="13"/>
  <c r="AK277" i="13"/>
  <c r="AK278" i="13"/>
  <c r="AK279" i="13"/>
  <c r="AK280" i="13"/>
  <c r="AK281" i="13"/>
  <c r="AK276" i="13"/>
  <c r="AK269" i="13"/>
  <c r="AK270" i="13"/>
  <c r="AJ269" i="13"/>
  <c r="AJ270" i="13"/>
  <c r="AJ268" i="13"/>
  <c r="AK266" i="13"/>
  <c r="AK268" i="13"/>
  <c r="AK265" i="13"/>
  <c r="AJ265" i="13"/>
  <c r="AJ266" i="13"/>
  <c r="AK244" i="13"/>
  <c r="AK246" i="13"/>
  <c r="AK247" i="13"/>
  <c r="AK249" i="13"/>
  <c r="AK251" i="13"/>
  <c r="AK252" i="13"/>
  <c r="AK254" i="13"/>
  <c r="AK256" i="13"/>
  <c r="AK257" i="13"/>
  <c r="AK259" i="13"/>
  <c r="AK260" i="13"/>
  <c r="AK261" i="13"/>
  <c r="AK263" i="13"/>
  <c r="AK243" i="13"/>
  <c r="AJ244" i="13"/>
  <c r="AJ246" i="13"/>
  <c r="AJ248" i="13"/>
  <c r="AJ249" i="13"/>
  <c r="AJ251" i="13"/>
  <c r="AJ252" i="13"/>
  <c r="AJ254" i="13"/>
  <c r="AJ256" i="13"/>
  <c r="AJ257" i="13"/>
  <c r="AJ259" i="13"/>
  <c r="AJ260" i="13"/>
  <c r="AJ243" i="13"/>
  <c r="AK229" i="13"/>
  <c r="AK231" i="13"/>
  <c r="AK232" i="13"/>
  <c r="AK233" i="13"/>
  <c r="AK234" i="13"/>
  <c r="AK235" i="13"/>
  <c r="AK236" i="13"/>
  <c r="AK238" i="13"/>
  <c r="AK239" i="13"/>
  <c r="AK241" i="13"/>
  <c r="AK228" i="13"/>
  <c r="AJ229" i="13"/>
  <c r="AJ233" i="13"/>
  <c r="AJ234" i="13"/>
  <c r="AJ235" i="13"/>
  <c r="AJ236" i="13"/>
  <c r="AJ238" i="13"/>
  <c r="AJ239" i="13"/>
  <c r="AJ228" i="13"/>
  <c r="AI305" i="13"/>
  <c r="AI265" i="13"/>
  <c r="AI244" i="13"/>
  <c r="AI245" i="13"/>
  <c r="AI246" i="13"/>
  <c r="AI247" i="13"/>
  <c r="AI248" i="13"/>
  <c r="AI249" i="13"/>
  <c r="AI252" i="13"/>
  <c r="AI253" i="13"/>
  <c r="AI254" i="13"/>
  <c r="AI257" i="13"/>
  <c r="AI259" i="13"/>
  <c r="AI260" i="13"/>
  <c r="AI261" i="13"/>
  <c r="AI263" i="13"/>
  <c r="AH274" i="13"/>
  <c r="AH267" i="13"/>
  <c r="AH307" i="13"/>
  <c r="AO94" i="13"/>
  <c r="BG94" i="13" s="1"/>
  <c r="AO97" i="13"/>
  <c r="BG97" i="13" s="1"/>
  <c r="AO98" i="13"/>
  <c r="AO99" i="13"/>
  <c r="BG99" i="13" s="1"/>
  <c r="AO101" i="13"/>
  <c r="AO102" i="13"/>
  <c r="BG102" i="13" s="1"/>
  <c r="AO105" i="13"/>
  <c r="BG105" i="13" s="1"/>
  <c r="AO107" i="13"/>
  <c r="AO110" i="13"/>
  <c r="AO111" i="13"/>
  <c r="BG111" i="13" s="1"/>
  <c r="AO113" i="13"/>
  <c r="AO114" i="13"/>
  <c r="BG114" i="13" s="1"/>
  <c r="AO116" i="13"/>
  <c r="BG116" i="13" s="1"/>
  <c r="AO117" i="13"/>
  <c r="AO118" i="13"/>
  <c r="BG118" i="13" s="1"/>
  <c r="AO120" i="13"/>
  <c r="BG120" i="13" s="1"/>
  <c r="AO122" i="13"/>
  <c r="AO123" i="13"/>
  <c r="BG123" i="13" s="1"/>
  <c r="AO125" i="13"/>
  <c r="AO126" i="13"/>
  <c r="BG126" i="13" s="1"/>
  <c r="AO128" i="13"/>
  <c r="BG128" i="13" s="1"/>
  <c r="AO129" i="13"/>
  <c r="BG129" i="13" s="1"/>
  <c r="AO130" i="13"/>
  <c r="BG130" i="13" s="1"/>
  <c r="AO131" i="13"/>
  <c r="BG131" i="13" s="1"/>
  <c r="AO132" i="13"/>
  <c r="BG132" i="13" s="1"/>
  <c r="AO133" i="13"/>
  <c r="BG133" i="13" s="1"/>
  <c r="AO134" i="13"/>
  <c r="AO135" i="13"/>
  <c r="BG135" i="13" s="1"/>
  <c r="AO139" i="13"/>
  <c r="AO140" i="13"/>
  <c r="AO142" i="13"/>
  <c r="AO143" i="13"/>
  <c r="AO145" i="13"/>
  <c r="AO146" i="13"/>
  <c r="AO147" i="13"/>
  <c r="AO150" i="13"/>
  <c r="AO151" i="13"/>
  <c r="AO152" i="13"/>
  <c r="AO153" i="13"/>
  <c r="AO154" i="13"/>
  <c r="AO155" i="13"/>
  <c r="AO156" i="13"/>
  <c r="AO157" i="13"/>
  <c r="AO159" i="13"/>
  <c r="AO161" i="13"/>
  <c r="AO163" i="13"/>
  <c r="AO164" i="13"/>
  <c r="AO165" i="13"/>
  <c r="AO167" i="13"/>
  <c r="AO168" i="13"/>
  <c r="AO169" i="13"/>
  <c r="AO171" i="13"/>
  <c r="AO172" i="13"/>
  <c r="AO173" i="13"/>
  <c r="AO174" i="13"/>
  <c r="AO175" i="13"/>
  <c r="AO177" i="13"/>
  <c r="AO178" i="13"/>
  <c r="AO179" i="13"/>
  <c r="AO180" i="13"/>
  <c r="AO182" i="13"/>
  <c r="AO183" i="13"/>
  <c r="AO184" i="13"/>
  <c r="AO185" i="13"/>
  <c r="AO188" i="13"/>
  <c r="AO190" i="13"/>
  <c r="AO191" i="13"/>
  <c r="AO192" i="13"/>
  <c r="AO195" i="13"/>
  <c r="AO196" i="13"/>
  <c r="AO198" i="13"/>
  <c r="AO200" i="13"/>
  <c r="AO201" i="13"/>
  <c r="AO202" i="13"/>
  <c r="AO203" i="13"/>
  <c r="AO204" i="13"/>
  <c r="AO205" i="13"/>
  <c r="AO206" i="13"/>
  <c r="AO208" i="13"/>
  <c r="AO209" i="13"/>
  <c r="AO210" i="13"/>
  <c r="AO212" i="13"/>
  <c r="AO213" i="13"/>
  <c r="AO214" i="13"/>
  <c r="AO217" i="13"/>
  <c r="AO218" i="13"/>
  <c r="AO220" i="13"/>
  <c r="AO221" i="13"/>
  <c r="AO222" i="13"/>
  <c r="AO227" i="13"/>
  <c r="AO92" i="13"/>
  <c r="BG92" i="13" s="1"/>
  <c r="AN93" i="13"/>
  <c r="AN94" i="13"/>
  <c r="BF94" i="13" s="1"/>
  <c r="AN96" i="13"/>
  <c r="BF96" i="13" s="1"/>
  <c r="AN97" i="13"/>
  <c r="BF97" i="13" s="1"/>
  <c r="AN98" i="13"/>
  <c r="AN99" i="13"/>
  <c r="BF99" i="13" s="1"/>
  <c r="AN101" i="13"/>
  <c r="AN102" i="13"/>
  <c r="BF102" i="13" s="1"/>
  <c r="AN104" i="13"/>
  <c r="BF104" i="13" s="1"/>
  <c r="BF106" i="13" s="1"/>
  <c r="AN105" i="13"/>
  <c r="BF105" i="13" s="1"/>
  <c r="AN107" i="13"/>
  <c r="AN108" i="13"/>
  <c r="BF108" i="13" s="1"/>
  <c r="AN110" i="13"/>
  <c r="AN111" i="13"/>
  <c r="BF111" i="13" s="1"/>
  <c r="AN113" i="13"/>
  <c r="AN114" i="13"/>
  <c r="BF114" i="13" s="1"/>
  <c r="AN116" i="13"/>
  <c r="BF116" i="13" s="1"/>
  <c r="AN117" i="13"/>
  <c r="AN118" i="13"/>
  <c r="BF118" i="13" s="1"/>
  <c r="AN120" i="13"/>
  <c r="BF120" i="13" s="1"/>
  <c r="AN121" i="13"/>
  <c r="BF121" i="13" s="1"/>
  <c r="AN122" i="13"/>
  <c r="AN123" i="13"/>
  <c r="BF123" i="13" s="1"/>
  <c r="AN125" i="13"/>
  <c r="AN126" i="13"/>
  <c r="BF126" i="13" s="1"/>
  <c r="AN128" i="13"/>
  <c r="BF128" i="13" s="1"/>
  <c r="AN129" i="13"/>
  <c r="BF129" i="13" s="1"/>
  <c r="AN130" i="13"/>
  <c r="BF130" i="13" s="1"/>
  <c r="AN131" i="13"/>
  <c r="BF131" i="13" s="1"/>
  <c r="AN132" i="13"/>
  <c r="BF132" i="13" s="1"/>
  <c r="AN133" i="13"/>
  <c r="BF133" i="13" s="1"/>
  <c r="AN134" i="13"/>
  <c r="AN135" i="13"/>
  <c r="BF135" i="13" s="1"/>
  <c r="AN138" i="13"/>
  <c r="AN139" i="13"/>
  <c r="AN140" i="13"/>
  <c r="AN142" i="13"/>
  <c r="AN143" i="13"/>
  <c r="AN145" i="13"/>
  <c r="AN146" i="13"/>
  <c r="AN147" i="13"/>
  <c r="AN149" i="13"/>
  <c r="AN150" i="13"/>
  <c r="AN151" i="13"/>
  <c r="AN152" i="13"/>
  <c r="AN153" i="13"/>
  <c r="AN154" i="13"/>
  <c r="AN155" i="13"/>
  <c r="AN156" i="13"/>
  <c r="AN157" i="13"/>
  <c r="AN159" i="13"/>
  <c r="AN160" i="13"/>
  <c r="AN161" i="13"/>
  <c r="AN163" i="13"/>
  <c r="AN164" i="13"/>
  <c r="AN165" i="13"/>
  <c r="AN167" i="13"/>
  <c r="AN168" i="13"/>
  <c r="AN169" i="13"/>
  <c r="AN171" i="13"/>
  <c r="AN172" i="13"/>
  <c r="AN173" i="13"/>
  <c r="AN174" i="13"/>
  <c r="AN175" i="13"/>
  <c r="AN177" i="13"/>
  <c r="AN178" i="13"/>
  <c r="AN179" i="13"/>
  <c r="AN180" i="13"/>
  <c r="AN182" i="13"/>
  <c r="AN183" i="13"/>
  <c r="AN184" i="13"/>
  <c r="AN185" i="13"/>
  <c r="AN188" i="13"/>
  <c r="AN190" i="13"/>
  <c r="AN191" i="13"/>
  <c r="AN192" i="13"/>
  <c r="AN194" i="13"/>
  <c r="AN195" i="13"/>
  <c r="AN196" i="13"/>
  <c r="AN198" i="13"/>
  <c r="AN199" i="13"/>
  <c r="AN200" i="13"/>
  <c r="AN201" i="13"/>
  <c r="AN202" i="13"/>
  <c r="AN203" i="13"/>
  <c r="AN204" i="13"/>
  <c r="AN205" i="13"/>
  <c r="AN206" i="13"/>
  <c r="AN209" i="13"/>
  <c r="AN210" i="13"/>
  <c r="AN212" i="13"/>
  <c r="AN213" i="13"/>
  <c r="AN214" i="13"/>
  <c r="AN216" i="13"/>
  <c r="AN217" i="13"/>
  <c r="AN218" i="13"/>
  <c r="AN220" i="13"/>
  <c r="AN221" i="13"/>
  <c r="AN222" i="13"/>
  <c r="AN224" i="13"/>
  <c r="AN226" i="13"/>
  <c r="AN228" i="13"/>
  <c r="AN229" i="13"/>
  <c r="AN231" i="13"/>
  <c r="AN232" i="13"/>
  <c r="AN233" i="13"/>
  <c r="AN234" i="13"/>
  <c r="AN235" i="13"/>
  <c r="AN236" i="13"/>
  <c r="AN238" i="13"/>
  <c r="AN239" i="13"/>
  <c r="AN241" i="13"/>
  <c r="AN251" i="13"/>
  <c r="AN252" i="13"/>
  <c r="AN253" i="13"/>
  <c r="AN254" i="13"/>
  <c r="AN256" i="13"/>
  <c r="AN257" i="13"/>
  <c r="AN263" i="13"/>
  <c r="AN265" i="13"/>
  <c r="AN266" i="13"/>
  <c r="AN268" i="13"/>
  <c r="AN269" i="13"/>
  <c r="AN270" i="13"/>
  <c r="AN272" i="13"/>
  <c r="AN274" i="13"/>
  <c r="AN276" i="13"/>
  <c r="AN277" i="13"/>
  <c r="AN278" i="13"/>
  <c r="AN279" i="13"/>
  <c r="AN280" i="13"/>
  <c r="AN281" i="13"/>
  <c r="AN282" i="13"/>
  <c r="AN283" i="13"/>
  <c r="AN284" i="13"/>
  <c r="AN285" i="13"/>
  <c r="AN286" i="13"/>
  <c r="AN287" i="13"/>
  <c r="AN288" i="13"/>
  <c r="AN289" i="13"/>
  <c r="AN290" i="13"/>
  <c r="AN291" i="13"/>
  <c r="AN292" i="13"/>
  <c r="BF292" i="13" s="1"/>
  <c r="AN293" i="13"/>
  <c r="BF293" i="13" s="1"/>
  <c r="AN294" i="13"/>
  <c r="BF294" i="13" s="1"/>
  <c r="AN295" i="13"/>
  <c r="BF295" i="13" s="1"/>
  <c r="AN296" i="13"/>
  <c r="BF296" i="13" s="1"/>
  <c r="AN297" i="13"/>
  <c r="BF297" i="13" s="1"/>
  <c r="AN298" i="13"/>
  <c r="BF298" i="13" s="1"/>
  <c r="AN299" i="13"/>
  <c r="BF299" i="13" s="1"/>
  <c r="AN300" i="13"/>
  <c r="BF300" i="13" s="1"/>
  <c r="AN301" i="13"/>
  <c r="BF301" i="13" s="1"/>
  <c r="AN302" i="13"/>
  <c r="BF302" i="13" s="1"/>
  <c r="AN303" i="13"/>
  <c r="BF303" i="13" s="1"/>
  <c r="AN304" i="13"/>
  <c r="AN306" i="13"/>
  <c r="AN92" i="13"/>
  <c r="BF92" i="13" s="1"/>
  <c r="AM226" i="13"/>
  <c r="AM190" i="13"/>
  <c r="AM191" i="13"/>
  <c r="AM192" i="13"/>
  <c r="AM194" i="13"/>
  <c r="AM195" i="13"/>
  <c r="AM196" i="13"/>
  <c r="AM199" i="13"/>
  <c r="AM200" i="13"/>
  <c r="AM201" i="13"/>
  <c r="AM202" i="13"/>
  <c r="AM203" i="13"/>
  <c r="AM204" i="13"/>
  <c r="AM205" i="13"/>
  <c r="AM206" i="13"/>
  <c r="AM208" i="13"/>
  <c r="AM209" i="13"/>
  <c r="AM210" i="13"/>
  <c r="AM212" i="13"/>
  <c r="AM213" i="13"/>
  <c r="AM214" i="13"/>
  <c r="AM216" i="13"/>
  <c r="AM217" i="13"/>
  <c r="AM218" i="13"/>
  <c r="AM220" i="13"/>
  <c r="AM221" i="13"/>
  <c r="AM222" i="13"/>
  <c r="AM224" i="13"/>
  <c r="AM139" i="13"/>
  <c r="AM140" i="13"/>
  <c r="AM142" i="13"/>
  <c r="AM143" i="13"/>
  <c r="AM146" i="13"/>
  <c r="AM147" i="13"/>
  <c r="AM150" i="13"/>
  <c r="AM151" i="13"/>
  <c r="AM152" i="13"/>
  <c r="AM153" i="13"/>
  <c r="AM154" i="13"/>
  <c r="AM155" i="13"/>
  <c r="AM156" i="13"/>
  <c r="AM157" i="13"/>
  <c r="AM159" i="13"/>
  <c r="AM160" i="13"/>
  <c r="AM161" i="13"/>
  <c r="AM164" i="13"/>
  <c r="AM165" i="13"/>
  <c r="AM168" i="13"/>
  <c r="AM169" i="13"/>
  <c r="AM171" i="13"/>
  <c r="AM174" i="13"/>
  <c r="AM175" i="13"/>
  <c r="AM178" i="13"/>
  <c r="AM179" i="13"/>
  <c r="AM180" i="13"/>
  <c r="AM182" i="13"/>
  <c r="AM183" i="13"/>
  <c r="AM184" i="13"/>
  <c r="AM185" i="13"/>
  <c r="AM138" i="13"/>
  <c r="AM105" i="13"/>
  <c r="AM107" i="13"/>
  <c r="AM108" i="13"/>
  <c r="AM110" i="13"/>
  <c r="AM111" i="13"/>
  <c r="AM113" i="13"/>
  <c r="AM114" i="13"/>
  <c r="AM116" i="13"/>
  <c r="AM117" i="13"/>
  <c r="AM118" i="13"/>
  <c r="AM120" i="13"/>
  <c r="AM121" i="13"/>
  <c r="AM122" i="13"/>
  <c r="AM123" i="13"/>
  <c r="AM125" i="13"/>
  <c r="AM126" i="13"/>
  <c r="AM128" i="13"/>
  <c r="AM129" i="13"/>
  <c r="AM130" i="13"/>
  <c r="AM131" i="13"/>
  <c r="AM132" i="13"/>
  <c r="AM133" i="13"/>
  <c r="AM134" i="13"/>
  <c r="AM135" i="13"/>
  <c r="AM93" i="13"/>
  <c r="AM94" i="13"/>
  <c r="AM96" i="13"/>
  <c r="AM97" i="13"/>
  <c r="AM98" i="13"/>
  <c r="AM99" i="13"/>
  <c r="AM101" i="13"/>
  <c r="AM102" i="13"/>
  <c r="AM104" i="13"/>
  <c r="AM92" i="13"/>
  <c r="AL93" i="13"/>
  <c r="AL94" i="13"/>
  <c r="AL96" i="13"/>
  <c r="AL97" i="13"/>
  <c r="AL98" i="13"/>
  <c r="AL99" i="13"/>
  <c r="AL101" i="13"/>
  <c r="AL102" i="13"/>
  <c r="AL104" i="13"/>
  <c r="AL105" i="13"/>
  <c r="AL107" i="13"/>
  <c r="AL108" i="13"/>
  <c r="AL110" i="13"/>
  <c r="AL111" i="13"/>
  <c r="AL113" i="13"/>
  <c r="AL114" i="13"/>
  <c r="AL116" i="13"/>
  <c r="AL117" i="13"/>
  <c r="AL118" i="13"/>
  <c r="AL120" i="13"/>
  <c r="AL121" i="13"/>
  <c r="AL122" i="13"/>
  <c r="AL123" i="13"/>
  <c r="AL125" i="13"/>
  <c r="AL126" i="13"/>
  <c r="AL128" i="13"/>
  <c r="AL129" i="13"/>
  <c r="AL131" i="13"/>
  <c r="AL132" i="13"/>
  <c r="AL133" i="13"/>
  <c r="AL134" i="13"/>
  <c r="AL135" i="13"/>
  <c r="AL138" i="13"/>
  <c r="AL139" i="13"/>
  <c r="AL140" i="13"/>
  <c r="AL142" i="13"/>
  <c r="AL143" i="13"/>
  <c r="AL145" i="13"/>
  <c r="AL146" i="13"/>
  <c r="AL147" i="13"/>
  <c r="AL149" i="13"/>
  <c r="AL150" i="13"/>
  <c r="AL151" i="13"/>
  <c r="AL152" i="13"/>
  <c r="AL153" i="13"/>
  <c r="AL154" i="13"/>
  <c r="AL155" i="13"/>
  <c r="AL156" i="13"/>
  <c r="AL157" i="13"/>
  <c r="AL159" i="13"/>
  <c r="AL160" i="13"/>
  <c r="AL161" i="13"/>
  <c r="AL163" i="13"/>
  <c r="AL164" i="13"/>
  <c r="AL165" i="13"/>
  <c r="AL167" i="13"/>
  <c r="AL168" i="13"/>
  <c r="AL169" i="13"/>
  <c r="AL171" i="13"/>
  <c r="AL172" i="13"/>
  <c r="AL173" i="13"/>
  <c r="AL174" i="13"/>
  <c r="AL175" i="13"/>
  <c r="AL177" i="13"/>
  <c r="AL178" i="13"/>
  <c r="AL179" i="13"/>
  <c r="AL180" i="13"/>
  <c r="AL182" i="13"/>
  <c r="AL183" i="13"/>
  <c r="AL184" i="13"/>
  <c r="AL185" i="13"/>
  <c r="AL188" i="13"/>
  <c r="AL190" i="13"/>
  <c r="AL191" i="13"/>
  <c r="AL192" i="13"/>
  <c r="AL194" i="13"/>
  <c r="AL195" i="13"/>
  <c r="AL196" i="13"/>
  <c r="AL198" i="13"/>
  <c r="AL199" i="13"/>
  <c r="AL200" i="13"/>
  <c r="AL201" i="13"/>
  <c r="AL202" i="13"/>
  <c r="AL203" i="13"/>
  <c r="AL204" i="13"/>
  <c r="AL205" i="13"/>
  <c r="AL206" i="13"/>
  <c r="AL208" i="13"/>
  <c r="AL209" i="13"/>
  <c r="AL210" i="13"/>
  <c r="AL212" i="13"/>
  <c r="AL213" i="13"/>
  <c r="AL214" i="13"/>
  <c r="AL216" i="13"/>
  <c r="AL217" i="13"/>
  <c r="AL218" i="13"/>
  <c r="AL220" i="13"/>
  <c r="AL222" i="13"/>
  <c r="AL224" i="13"/>
  <c r="AL226" i="13"/>
  <c r="AL92" i="13"/>
  <c r="AK139" i="13"/>
  <c r="AK140" i="13"/>
  <c r="AK142" i="13"/>
  <c r="AK143" i="13"/>
  <c r="AK145" i="13"/>
  <c r="AK146" i="13"/>
  <c r="AK147" i="13"/>
  <c r="AK150" i="13"/>
  <c r="AK151" i="13"/>
  <c r="AK152" i="13"/>
  <c r="AK153" i="13"/>
  <c r="AK154" i="13"/>
  <c r="AK155" i="13"/>
  <c r="AK156" i="13"/>
  <c r="AK157" i="13"/>
  <c r="AK159" i="13"/>
  <c r="AK160" i="13"/>
  <c r="AK161" i="13"/>
  <c r="AK163" i="13"/>
  <c r="AK164" i="13"/>
  <c r="AK165" i="13"/>
  <c r="AK167" i="13"/>
  <c r="AK168" i="13"/>
  <c r="AK169" i="13"/>
  <c r="AK171" i="13"/>
  <c r="AK175" i="13"/>
  <c r="AK178" i="13"/>
  <c r="AK179" i="13"/>
  <c r="AK180" i="13"/>
  <c r="AK182" i="13"/>
  <c r="AK183" i="13"/>
  <c r="AK184" i="13"/>
  <c r="AK185" i="13"/>
  <c r="AK138" i="13"/>
  <c r="AK93" i="13"/>
  <c r="AK94" i="13"/>
  <c r="AK96" i="13"/>
  <c r="AK97" i="13"/>
  <c r="AK98" i="13"/>
  <c r="AK99" i="13"/>
  <c r="AK101" i="13"/>
  <c r="AK102" i="13"/>
  <c r="AK104" i="13"/>
  <c r="AK105" i="13"/>
  <c r="AK107" i="13"/>
  <c r="AK108" i="13"/>
  <c r="AK110" i="13"/>
  <c r="AK111" i="13"/>
  <c r="AK113" i="13"/>
  <c r="AK114" i="13"/>
  <c r="AK116" i="13"/>
  <c r="AK117" i="13"/>
  <c r="AK118" i="13"/>
  <c r="AK120" i="13"/>
  <c r="AK121" i="13"/>
  <c r="AK122" i="13"/>
  <c r="AK123" i="13"/>
  <c r="AK125" i="13"/>
  <c r="AK126" i="13"/>
  <c r="AK128" i="13"/>
  <c r="AK129" i="13"/>
  <c r="AK131" i="13"/>
  <c r="AK132" i="13"/>
  <c r="AK133" i="13"/>
  <c r="AK134" i="13"/>
  <c r="AK135" i="13"/>
  <c r="AK92" i="13"/>
  <c r="AJ190" i="13"/>
  <c r="AJ191" i="13"/>
  <c r="AJ192" i="13"/>
  <c r="AJ194" i="13"/>
  <c r="AJ195" i="13"/>
  <c r="AJ196" i="13"/>
  <c r="AJ198" i="13"/>
  <c r="AJ199" i="13"/>
  <c r="AJ200" i="13"/>
  <c r="AJ201" i="13"/>
  <c r="AJ202" i="13"/>
  <c r="AJ203" i="13"/>
  <c r="AJ204" i="13"/>
  <c r="AJ205" i="13"/>
  <c r="AJ206" i="13"/>
  <c r="AJ208" i="13"/>
  <c r="AJ209" i="13"/>
  <c r="AJ210" i="13"/>
  <c r="AJ212" i="13"/>
  <c r="AJ213" i="13"/>
  <c r="AJ214" i="13"/>
  <c r="AJ216" i="13"/>
  <c r="AJ217" i="13"/>
  <c r="AJ218" i="13"/>
  <c r="AJ220" i="13"/>
  <c r="AJ221" i="13"/>
  <c r="AJ222" i="13"/>
  <c r="AJ224" i="13"/>
  <c r="AJ188" i="13"/>
  <c r="AJ93" i="13"/>
  <c r="AJ94" i="13"/>
  <c r="AJ96" i="13"/>
  <c r="AJ98" i="13"/>
  <c r="AJ99" i="13"/>
  <c r="AJ101" i="13"/>
  <c r="AJ102" i="13"/>
  <c r="AJ104" i="13"/>
  <c r="AJ105" i="13"/>
  <c r="AJ108" i="13"/>
  <c r="AJ110" i="13"/>
  <c r="AJ111" i="13"/>
  <c r="AJ113" i="13"/>
  <c r="AJ114" i="13"/>
  <c r="AJ116" i="13"/>
  <c r="AJ117" i="13"/>
  <c r="AJ118" i="13"/>
  <c r="AJ120" i="13"/>
  <c r="AJ121" i="13"/>
  <c r="AJ122" i="13"/>
  <c r="AJ123" i="13"/>
  <c r="AJ125" i="13"/>
  <c r="AJ126" i="13"/>
  <c r="AJ128" i="13"/>
  <c r="AJ129" i="13"/>
  <c r="AJ131" i="13"/>
  <c r="AJ132" i="13"/>
  <c r="AJ133" i="13"/>
  <c r="AJ134" i="13"/>
  <c r="AJ135" i="13"/>
  <c r="AJ92" i="13"/>
  <c r="AI139" i="13"/>
  <c r="AI140" i="13"/>
  <c r="AI142" i="13"/>
  <c r="AI143" i="13"/>
  <c r="AI145" i="13"/>
  <c r="AI146" i="13"/>
  <c r="AI147" i="13"/>
  <c r="AI150" i="13"/>
  <c r="AI151" i="13"/>
  <c r="AI152" i="13"/>
  <c r="AI153" i="13"/>
  <c r="AI154" i="13"/>
  <c r="AI155" i="13"/>
  <c r="AI156" i="13"/>
  <c r="AI157" i="13"/>
  <c r="AI159" i="13"/>
  <c r="AI160" i="13"/>
  <c r="AI161" i="13"/>
  <c r="AI164" i="13"/>
  <c r="AI165" i="13"/>
  <c r="AI167" i="13"/>
  <c r="AI168" i="13"/>
  <c r="AI169" i="13"/>
  <c r="AI171" i="13"/>
  <c r="AI172" i="13"/>
  <c r="AI173" i="13"/>
  <c r="AI174" i="13"/>
  <c r="AI175" i="13"/>
  <c r="AI177" i="13"/>
  <c r="AI178" i="13"/>
  <c r="AI179" i="13"/>
  <c r="AI180" i="13"/>
  <c r="AI182" i="13"/>
  <c r="AI184" i="13"/>
  <c r="AI185" i="13"/>
  <c r="AI93" i="13"/>
  <c r="AI94" i="13"/>
  <c r="AI96" i="13"/>
  <c r="AI97" i="13"/>
  <c r="AI98" i="13"/>
  <c r="AI99" i="13"/>
  <c r="AI101" i="13"/>
  <c r="AI102" i="13"/>
  <c r="AI105" i="13"/>
  <c r="AI108" i="13"/>
  <c r="AI110" i="13"/>
  <c r="AI111" i="13"/>
  <c r="AI113" i="13"/>
  <c r="AI114" i="13"/>
  <c r="AI116" i="13"/>
  <c r="AI117" i="13"/>
  <c r="AI118" i="13"/>
  <c r="AI121" i="13"/>
  <c r="AI122" i="13"/>
  <c r="AI123" i="13"/>
  <c r="AI125" i="13"/>
  <c r="AI126" i="13"/>
  <c r="AI128" i="13"/>
  <c r="AI129" i="13"/>
  <c r="AI130" i="13"/>
  <c r="AI131" i="13"/>
  <c r="AI132" i="13"/>
  <c r="AI133" i="13"/>
  <c r="AI135" i="13"/>
  <c r="AH93" i="13"/>
  <c r="AH94" i="13"/>
  <c r="AH97" i="13"/>
  <c r="AH99" i="13"/>
  <c r="AH102" i="13"/>
  <c r="AH104" i="13"/>
  <c r="AH105" i="13"/>
  <c r="AH108" i="13"/>
  <c r="AH110" i="13"/>
  <c r="AH111" i="13"/>
  <c r="AH114" i="13"/>
  <c r="AH116" i="13"/>
  <c r="AH117" i="13"/>
  <c r="AH118" i="13"/>
  <c r="AH120" i="13"/>
  <c r="AH122" i="13"/>
  <c r="AH123" i="13"/>
  <c r="AH125" i="13"/>
  <c r="AH126" i="13"/>
  <c r="AH130" i="13"/>
  <c r="AH131" i="13"/>
  <c r="AH132" i="13"/>
  <c r="AH135" i="13"/>
  <c r="AH227" i="13"/>
  <c r="AH187" i="13" l="1"/>
  <c r="AH119" i="13"/>
  <c r="AH103" i="13"/>
  <c r="AH95" i="13"/>
  <c r="AH106" i="13"/>
  <c r="AH112" i="13"/>
  <c r="AH127" i="13"/>
  <c r="AH136" i="13"/>
  <c r="AH109" i="13"/>
  <c r="AH100" i="13"/>
  <c r="AI136" i="13"/>
  <c r="AI106" i="13"/>
  <c r="AL227" i="13"/>
  <c r="AL189" i="13"/>
  <c r="AM115" i="13"/>
  <c r="AM109" i="13"/>
  <c r="AM181" i="13"/>
  <c r="AM166" i="13"/>
  <c r="AN115" i="13"/>
  <c r="BF113" i="13"/>
  <c r="BF115" i="13" s="1"/>
  <c r="AN109" i="13"/>
  <c r="BF107" i="13"/>
  <c r="BF109" i="13" s="1"/>
  <c r="AN103" i="13"/>
  <c r="BF101" i="13"/>
  <c r="BF103" i="13" s="1"/>
  <c r="AO119" i="13"/>
  <c r="BG117" i="13"/>
  <c r="BG119" i="13" s="1"/>
  <c r="AH275" i="13"/>
  <c r="AJ181" i="13"/>
  <c r="AJ166" i="13"/>
  <c r="AJ141" i="13"/>
  <c r="AI109" i="13"/>
  <c r="AJ189" i="13"/>
  <c r="AL100" i="13"/>
  <c r="AN307" i="13"/>
  <c r="BF306" i="13"/>
  <c r="BF307" i="13" s="1"/>
  <c r="AN237" i="13"/>
  <c r="AN162" i="13"/>
  <c r="AN136" i="13"/>
  <c r="BF134" i="13"/>
  <c r="BF136" i="13" s="1"/>
  <c r="AN127" i="13"/>
  <c r="BF125" i="13"/>
  <c r="BF127" i="13" s="1"/>
  <c r="AO136" i="13"/>
  <c r="BG134" i="13"/>
  <c r="BG136" i="13" s="1"/>
  <c r="AO127" i="13"/>
  <c r="BG125" i="13"/>
  <c r="BG127" i="13" s="1"/>
  <c r="AO115" i="13"/>
  <c r="BG113" i="13"/>
  <c r="BG115" i="13" s="1"/>
  <c r="AO100" i="13"/>
  <c r="BG98" i="13"/>
  <c r="BG100" i="13" s="1"/>
  <c r="AI267" i="13"/>
  <c r="AM240" i="13"/>
  <c r="AI225" i="13"/>
  <c r="AK225" i="13"/>
  <c r="AI124" i="13"/>
  <c r="AI112" i="13"/>
  <c r="AI103" i="13"/>
  <c r="AJ136" i="13"/>
  <c r="AJ115" i="13"/>
  <c r="AJ95" i="13"/>
  <c r="AK136" i="13"/>
  <c r="AK115" i="13"/>
  <c r="AK109" i="13"/>
  <c r="AK103" i="13"/>
  <c r="AK162" i="13"/>
  <c r="AK141" i="13"/>
  <c r="AL181" i="13"/>
  <c r="AL166" i="13"/>
  <c r="AL141" i="13"/>
  <c r="AL124" i="13"/>
  <c r="AL119" i="13"/>
  <c r="AM112" i="13"/>
  <c r="AM170" i="13"/>
  <c r="AM162" i="13"/>
  <c r="AN227" i="13"/>
  <c r="AN189" i="13"/>
  <c r="AN112" i="13"/>
  <c r="BF110" i="13"/>
  <c r="BF112" i="13" s="1"/>
  <c r="AN100" i="13"/>
  <c r="BF98" i="13"/>
  <c r="BF100" i="13" s="1"/>
  <c r="AN95" i="13"/>
  <c r="BF93" i="13"/>
  <c r="BF95" i="13" s="1"/>
  <c r="AO109" i="13"/>
  <c r="BG107" i="13"/>
  <c r="BG109" i="13" s="1"/>
  <c r="AL271" i="13"/>
  <c r="AL273" i="13" s="1"/>
  <c r="AO106" i="13"/>
  <c r="BG104" i="13"/>
  <c r="BG106" i="13" s="1"/>
  <c r="AH115" i="13"/>
  <c r="AJ109" i="13"/>
  <c r="AM106" i="13"/>
  <c r="AM100" i="13"/>
  <c r="AM227" i="13"/>
  <c r="AN275" i="13"/>
  <c r="AN240" i="13"/>
  <c r="AN230" i="13"/>
  <c r="AN197" i="13"/>
  <c r="AN170" i="13"/>
  <c r="AN124" i="13"/>
  <c r="BF122" i="13"/>
  <c r="BF124" i="13" s="1"/>
  <c r="AN119" i="13"/>
  <c r="BF117" i="13"/>
  <c r="BF119" i="13" s="1"/>
  <c r="AO219" i="13"/>
  <c r="AO189" i="13"/>
  <c r="AO162" i="13"/>
  <c r="AO141" i="13"/>
  <c r="AO124" i="13"/>
  <c r="BG122" i="13"/>
  <c r="BG124" i="13" s="1"/>
  <c r="AO112" i="13"/>
  <c r="BG110" i="13"/>
  <c r="BG112" i="13" s="1"/>
  <c r="AO103" i="13"/>
  <c r="BG101" i="13"/>
  <c r="BG103" i="13" s="1"/>
  <c r="AI258" i="13"/>
  <c r="AO95" i="13"/>
  <c r="BG93" i="13"/>
  <c r="BG95" i="13" s="1"/>
  <c r="AO181" i="13"/>
  <c r="AO166" i="13"/>
  <c r="AO144" i="13"/>
  <c r="AL240" i="13"/>
  <c r="AK148" i="13"/>
  <c r="AL148" i="13"/>
  <c r="AN193" i="13"/>
  <c r="AN186" i="13"/>
  <c r="AN176" i="13"/>
  <c r="AO148" i="13"/>
  <c r="AK240" i="13"/>
  <c r="AK250" i="13"/>
  <c r="AJ148" i="13"/>
  <c r="AI242" i="13"/>
  <c r="AI162" i="13"/>
  <c r="AI148" i="13"/>
  <c r="AI141" i="13"/>
  <c r="AJ124" i="13"/>
  <c r="AJ119" i="13"/>
  <c r="AJ106" i="13"/>
  <c r="AJ100" i="13"/>
  <c r="AJ223" i="13"/>
  <c r="AJ211" i="13"/>
  <c r="AJ197" i="13"/>
  <c r="AJ193" i="13"/>
  <c r="AK124" i="13"/>
  <c r="AK119" i="13"/>
  <c r="AK181" i="13"/>
  <c r="AK166" i="13"/>
  <c r="AL223" i="13"/>
  <c r="AL211" i="13"/>
  <c r="AJ176" i="13"/>
  <c r="AJ170" i="13"/>
  <c r="AM305" i="13"/>
  <c r="AL305" i="13"/>
  <c r="AK158" i="13"/>
  <c r="AL197" i="13"/>
  <c r="AL193" i="13"/>
  <c r="AL186" i="13"/>
  <c r="AL176" i="13"/>
  <c r="AL170" i="13"/>
  <c r="AL158" i="13"/>
  <c r="AL112" i="13"/>
  <c r="AL106" i="13"/>
  <c r="AL95" i="13"/>
  <c r="AM103" i="13"/>
  <c r="AM136" i="13"/>
  <c r="AM127" i="13"/>
  <c r="AM176" i="13"/>
  <c r="AM158" i="13"/>
  <c r="AM144" i="13"/>
  <c r="AM219" i="13"/>
  <c r="AM215" i="13"/>
  <c r="AN144" i="13"/>
  <c r="AN106" i="13"/>
  <c r="AO158" i="13"/>
  <c r="AJ230" i="13"/>
  <c r="AJ237" i="13"/>
  <c r="AK255" i="13"/>
  <c r="AJ271" i="13"/>
  <c r="X137" i="13"/>
  <c r="T137" i="13"/>
  <c r="AJ158" i="13"/>
  <c r="AN158" i="13"/>
  <c r="AK267" i="13"/>
  <c r="Y137" i="13"/>
  <c r="U137" i="13"/>
  <c r="AI119" i="13"/>
  <c r="AI181" i="13"/>
  <c r="AI166" i="13"/>
  <c r="AI144" i="13"/>
  <c r="AJ127" i="13"/>
  <c r="AJ103" i="13"/>
  <c r="AJ219" i="13"/>
  <c r="AK127" i="13"/>
  <c r="AL219" i="13"/>
  <c r="AL162" i="13"/>
  <c r="AL136" i="13"/>
  <c r="AL115" i="13"/>
  <c r="AL109" i="13"/>
  <c r="AL103" i="13"/>
  <c r="AM95" i="13"/>
  <c r="AM124" i="13"/>
  <c r="AM119" i="13"/>
  <c r="AM148" i="13"/>
  <c r="AM141" i="13"/>
  <c r="AM211" i="13"/>
  <c r="AN271" i="13"/>
  <c r="AN219" i="13"/>
  <c r="AN215" i="13"/>
  <c r="AN181" i="13"/>
  <c r="AN166" i="13"/>
  <c r="AN148" i="13"/>
  <c r="AN141" i="13"/>
  <c r="AN137" i="13"/>
  <c r="AO215" i="13"/>
  <c r="AO193" i="13"/>
  <c r="AO186" i="13"/>
  <c r="AO176" i="13"/>
  <c r="AO170" i="13"/>
  <c r="AI262" i="13"/>
  <c r="AJ240" i="13"/>
  <c r="AJ267" i="13"/>
  <c r="AJ273" i="13"/>
  <c r="AK271" i="13"/>
  <c r="AK273" i="13" s="1"/>
  <c r="AF137" i="13"/>
  <c r="V137" i="13"/>
  <c r="R137" i="13"/>
  <c r="AJ162" i="13"/>
  <c r="AK176" i="13"/>
  <c r="AH124" i="13"/>
  <c r="AH137" i="13" s="1"/>
  <c r="AI127" i="13"/>
  <c r="AI115" i="13"/>
  <c r="AI100" i="13"/>
  <c r="AI95" i="13"/>
  <c r="AJ112" i="13"/>
  <c r="AK112" i="13"/>
  <c r="AK106" i="13"/>
  <c r="AK100" i="13"/>
  <c r="AK95" i="13"/>
  <c r="AK170" i="13"/>
  <c r="AK144" i="13"/>
  <c r="AL144" i="13"/>
  <c r="AL127" i="13"/>
  <c r="AG137" i="13"/>
  <c r="W137" i="13"/>
  <c r="S137" i="13"/>
  <c r="AJ144" i="13"/>
  <c r="AO207" i="13"/>
  <c r="AO197" i="13"/>
  <c r="AI186" i="13"/>
  <c r="AI176" i="13"/>
  <c r="AI170" i="13"/>
  <c r="AJ207" i="13"/>
  <c r="AL207" i="13"/>
  <c r="AN207" i="13"/>
  <c r="AI255" i="13"/>
  <c r="AJ250" i="13"/>
  <c r="AJ258" i="13"/>
  <c r="AK262" i="13"/>
  <c r="AL230" i="13"/>
  <c r="AJ215" i="13"/>
  <c r="AL215" i="13"/>
  <c r="AM186" i="13"/>
  <c r="AM223" i="13"/>
  <c r="AN273" i="13"/>
  <c r="AN242" i="13"/>
  <c r="AO223" i="13"/>
  <c r="AK230" i="13"/>
  <c r="AJ255" i="13"/>
  <c r="AK305" i="13"/>
  <c r="AM230" i="13"/>
  <c r="AI158" i="13"/>
  <c r="AK186" i="13"/>
  <c r="AM207" i="13"/>
  <c r="AM197" i="13"/>
  <c r="AM193" i="13"/>
  <c r="AN305" i="13"/>
  <c r="AN267" i="13"/>
  <c r="AN258" i="13"/>
  <c r="AN255" i="13"/>
  <c r="AN223" i="13"/>
  <c r="AN211" i="13"/>
  <c r="AO211" i="13"/>
  <c r="AI250" i="13"/>
  <c r="AK237" i="13"/>
  <c r="AJ262" i="13"/>
  <c r="AK258" i="13"/>
  <c r="AL237" i="13"/>
  <c r="AL242" i="13" s="1"/>
  <c r="AM237" i="13"/>
  <c r="AM271" i="13"/>
  <c r="AM273" i="13" s="1"/>
  <c r="AJ186" i="13"/>
  <c r="AH305" i="13"/>
  <c r="AJ187" i="13" l="1"/>
  <c r="AO187" i="13"/>
  <c r="AO137" i="13"/>
  <c r="BG137" i="13"/>
  <c r="BF137" i="13"/>
  <c r="AK242" i="13"/>
  <c r="AJ225" i="13"/>
  <c r="AI137" i="13"/>
  <c r="AN187" i="13"/>
  <c r="AM137" i="13"/>
  <c r="AL187" i="13"/>
  <c r="AJ137" i="13"/>
  <c r="AN225" i="13"/>
  <c r="AK187" i="13"/>
  <c r="AO225" i="13"/>
  <c r="AM187" i="13"/>
  <c r="AK264" i="13"/>
  <c r="AL225" i="13"/>
  <c r="AK137" i="13"/>
  <c r="AJ242" i="13"/>
  <c r="AI264" i="13"/>
  <c r="AM242" i="13"/>
  <c r="AM225" i="13"/>
  <c r="AL137" i="13"/>
  <c r="AI187" i="13"/>
  <c r="AJ264" i="13"/>
  <c r="AD92" i="13"/>
  <c r="BD92" i="13" s="1"/>
  <c r="AD104" i="13"/>
  <c r="BD104" i="13" s="1"/>
  <c r="AD108" i="13"/>
  <c r="BD108" i="13" s="1"/>
  <c r="AD107" i="13"/>
  <c r="BD107" i="13" s="1"/>
  <c r="AB129" i="13"/>
  <c r="BB129" i="13" s="1"/>
  <c r="AB114" i="13"/>
  <c r="BB114" i="13" s="1"/>
  <c r="AB108" i="13"/>
  <c r="BB108" i="13" s="1"/>
  <c r="AB107" i="13"/>
  <c r="BB107" i="13" s="1"/>
  <c r="AB105" i="13"/>
  <c r="BB105" i="13" s="1"/>
  <c r="AB104" i="13"/>
  <c r="BB104" i="13" s="1"/>
  <c r="AA92" i="13"/>
  <c r="BA92" i="13" s="1"/>
  <c r="AA135" i="13"/>
  <c r="BA135" i="13" s="1"/>
  <c r="AA123" i="13"/>
  <c r="BA123" i="13" s="1"/>
  <c r="AA130" i="13"/>
  <c r="BA130" i="13" s="1"/>
  <c r="AA96" i="13"/>
  <c r="BA96" i="13" s="1"/>
  <c r="AA105" i="13"/>
  <c r="BA105" i="13" s="1"/>
  <c r="AA104" i="13"/>
  <c r="BA104" i="13" s="1"/>
  <c r="AA107" i="13"/>
  <c r="BA107" i="13" s="1"/>
  <c r="AA102" i="13"/>
  <c r="BA102" i="13" s="1"/>
  <c r="AA101" i="13"/>
  <c r="BB109" i="13" l="1"/>
  <c r="BA106" i="13"/>
  <c r="BB106" i="13"/>
  <c r="BD109" i="13"/>
  <c r="AA103" i="13"/>
  <c r="BA101" i="13"/>
  <c r="BA103" i="13" s="1"/>
  <c r="AB109" i="13"/>
  <c r="AD109" i="13"/>
  <c r="AA106" i="13"/>
  <c r="AB106" i="13"/>
  <c r="AA286" i="13"/>
  <c r="Z295" i="13"/>
  <c r="Z296" i="13"/>
  <c r="Z297" i="13"/>
  <c r="Z298" i="13"/>
  <c r="Z294" i="13"/>
  <c r="Z293" i="13"/>
  <c r="Z292" i="13"/>
  <c r="Z299" i="13"/>
  <c r="Z300" i="13"/>
  <c r="Z301" i="13"/>
  <c r="Z302" i="13"/>
  <c r="Z303" i="13"/>
  <c r="AA287" i="13"/>
  <c r="AA290" i="13"/>
  <c r="AA291" i="13"/>
  <c r="AA292" i="13"/>
  <c r="BA292" i="13" s="1"/>
  <c r="AA293" i="13"/>
  <c r="BA293" i="13" s="1"/>
  <c r="AA294" i="13"/>
  <c r="BA294" i="13" s="1"/>
  <c r="AA295" i="13"/>
  <c r="BA295" i="13" s="1"/>
  <c r="AA296" i="13"/>
  <c r="BA296" i="13" s="1"/>
  <c r="AA297" i="13"/>
  <c r="BA297" i="13" s="1"/>
  <c r="AA298" i="13"/>
  <c r="BA298" i="13" s="1"/>
  <c r="AA299" i="13"/>
  <c r="BA299" i="13" s="1"/>
  <c r="AA300" i="13"/>
  <c r="BA300" i="13" s="1"/>
  <c r="AA301" i="13"/>
  <c r="BA301" i="13" s="1"/>
  <c r="AA302" i="13"/>
  <c r="BA302" i="13" s="1"/>
  <c r="AA303" i="13"/>
  <c r="BA303" i="13" s="1"/>
  <c r="AA277" i="13"/>
  <c r="AA278" i="13"/>
  <c r="AA279" i="13"/>
  <c r="AA280" i="13"/>
  <c r="AA281" i="13"/>
  <c r="AA282" i="13"/>
  <c r="AA283" i="13"/>
  <c r="AA284" i="13"/>
  <c r="AA285" i="13"/>
  <c r="AA276" i="13"/>
  <c r="AA327" i="13"/>
  <c r="L14" i="12"/>
  <c r="BN136" i="13"/>
  <c r="BO136" i="13"/>
  <c r="BP136" i="13"/>
  <c r="BQ136" i="13"/>
  <c r="BR136" i="13"/>
  <c r="BS136" i="13"/>
  <c r="BT136" i="13"/>
  <c r="BN127" i="13"/>
  <c r="BO127" i="13"/>
  <c r="BP127" i="13"/>
  <c r="BQ127" i="13"/>
  <c r="BR127" i="13"/>
  <c r="BS127" i="13"/>
  <c r="BT127" i="13"/>
  <c r="BU127" i="13"/>
  <c r="BN124" i="13"/>
  <c r="BO124" i="13"/>
  <c r="BP124" i="13"/>
  <c r="BQ124" i="13"/>
  <c r="BR124" i="13"/>
  <c r="BS124" i="13"/>
  <c r="BT124" i="13"/>
  <c r="BN119" i="13"/>
  <c r="BO119" i="13"/>
  <c r="BP119" i="13"/>
  <c r="BN115" i="13"/>
  <c r="BO115" i="13"/>
  <c r="BP115" i="13"/>
  <c r="BQ115" i="13"/>
  <c r="BR115" i="13"/>
  <c r="BS115" i="13"/>
  <c r="BT115" i="13"/>
  <c r="BU115" i="13"/>
  <c r="BN112" i="13"/>
  <c r="BO112" i="13"/>
  <c r="BP112" i="13"/>
  <c r="BQ112" i="13"/>
  <c r="BN109" i="13"/>
  <c r="BO109" i="13"/>
  <c r="BP109" i="13"/>
  <c r="BQ109" i="13"/>
  <c r="BR109" i="13"/>
  <c r="BS109" i="13"/>
  <c r="BT109" i="13"/>
  <c r="BN106" i="13"/>
  <c r="BO106" i="13"/>
  <c r="BP106" i="13"/>
  <c r="BQ106" i="13"/>
  <c r="BN103" i="13"/>
  <c r="BO103" i="13"/>
  <c r="BP103" i="13"/>
  <c r="BQ103" i="13"/>
  <c r="BN100" i="13"/>
  <c r="BO100" i="13"/>
  <c r="BP100" i="13"/>
  <c r="BN95" i="13"/>
  <c r="BR106" i="13"/>
  <c r="BN137" i="13" l="1"/>
  <c r="AA305" i="13"/>
  <c r="BO137" i="13"/>
  <c r="BQ137" i="13"/>
  <c r="BP137" i="13"/>
  <c r="BS106" i="13"/>
  <c r="BT106" i="13"/>
  <c r="AE133" i="13"/>
  <c r="BE133" i="13" s="1"/>
  <c r="AC130" i="13"/>
  <c r="BC130" i="13" s="1"/>
  <c r="AB98" i="13"/>
  <c r="BB98" i="13" s="1"/>
  <c r="AB97" i="13"/>
  <c r="BB97" i="13" s="1"/>
  <c r="Z122" i="13"/>
  <c r="AZ122" i="13" s="1"/>
  <c r="Z126" i="13"/>
  <c r="AZ126" i="13" s="1"/>
  <c r="Z129" i="13"/>
  <c r="AZ129" i="13" s="1"/>
  <c r="Z135" i="13"/>
  <c r="AZ135" i="13" s="1"/>
  <c r="AC248" i="13"/>
  <c r="AB245" i="13"/>
  <c r="AA244" i="13"/>
  <c r="AA245" i="13"/>
  <c r="AA246" i="13"/>
  <c r="AA247" i="13"/>
  <c r="AA248" i="13"/>
  <c r="AA249" i="13"/>
  <c r="AA243" i="13"/>
  <c r="Z256" i="13"/>
  <c r="Z251" i="13"/>
  <c r="Z235" i="13"/>
  <c r="Z231" i="13"/>
  <c r="Z228" i="13"/>
  <c r="AE235" i="13"/>
  <c r="AE231" i="13"/>
  <c r="AE228" i="13"/>
  <c r="AC238" i="13"/>
  <c r="AC231" i="13"/>
  <c r="Z241" i="13"/>
  <c r="Z238" i="13"/>
  <c r="Z239" i="13"/>
  <c r="Z229" i="13"/>
  <c r="Z232" i="13"/>
  <c r="Z233" i="13"/>
  <c r="Z234" i="13"/>
  <c r="Z236" i="13"/>
  <c r="BL240" i="13"/>
  <c r="BM240" i="13"/>
  <c r="BN240" i="13"/>
  <c r="BO240" i="13"/>
  <c r="BP240" i="13"/>
  <c r="BQ240" i="13"/>
  <c r="BL237" i="13"/>
  <c r="BM237" i="13"/>
  <c r="BL230" i="13"/>
  <c r="BM230" i="13"/>
  <c r="BN230" i="13"/>
  <c r="AE224" i="13"/>
  <c r="AC221" i="13"/>
  <c r="AA194" i="13"/>
  <c r="AA188" i="13"/>
  <c r="Z208" i="13"/>
  <c r="Z224" i="13"/>
  <c r="BL223" i="13"/>
  <c r="BM223" i="13"/>
  <c r="BN223" i="13"/>
  <c r="BL219" i="13"/>
  <c r="BM219" i="13"/>
  <c r="BN219" i="13"/>
  <c r="BL211" i="13"/>
  <c r="BM211" i="13"/>
  <c r="BN211" i="13"/>
  <c r="BL207" i="13"/>
  <c r="BM207" i="13"/>
  <c r="BN207" i="13"/>
  <c r="BO207" i="13"/>
  <c r="BP207" i="13"/>
  <c r="BL189" i="13"/>
  <c r="AC168" i="13"/>
  <c r="AA182" i="13"/>
  <c r="AA138" i="13"/>
  <c r="AA145" i="13"/>
  <c r="AA149" i="13"/>
  <c r="Z183" i="13"/>
  <c r="Z138" i="13"/>
  <c r="Z159" i="13"/>
  <c r="Z149" i="13"/>
  <c r="BL186" i="13"/>
  <c r="BM186" i="13"/>
  <c r="BN186" i="13"/>
  <c r="BO186" i="13"/>
  <c r="BP186" i="13"/>
  <c r="BL181" i="13"/>
  <c r="BM181" i="13"/>
  <c r="BN181" i="13"/>
  <c r="BO181" i="13"/>
  <c r="BP181" i="13"/>
  <c r="BL176" i="13"/>
  <c r="BL170" i="13"/>
  <c r="BM170" i="13"/>
  <c r="BN170" i="13"/>
  <c r="BO170" i="13"/>
  <c r="BP170" i="13"/>
  <c r="BL162" i="13"/>
  <c r="BL81" i="13"/>
  <c r="BM81" i="13"/>
  <c r="BN81" i="13"/>
  <c r="BL77" i="13"/>
  <c r="BL73" i="13"/>
  <c r="BM73" i="13"/>
  <c r="BN73" i="13"/>
  <c r="BO73" i="13"/>
  <c r="BP73" i="13"/>
  <c r="BL70" i="13"/>
  <c r="BM70" i="13"/>
  <c r="BN70" i="13"/>
  <c r="BO70" i="13"/>
  <c r="BP70" i="13"/>
  <c r="BL61" i="13"/>
  <c r="BM61" i="13"/>
  <c r="BN61" i="13"/>
  <c r="BL58" i="13"/>
  <c r="BM58" i="13"/>
  <c r="BN58" i="13"/>
  <c r="BO58" i="13"/>
  <c r="BP58" i="13"/>
  <c r="BL54" i="13"/>
  <c r="BL19" i="13"/>
  <c r="BL10" i="13"/>
  <c r="Z286" i="13"/>
  <c r="Z283" i="13"/>
  <c r="Z278" i="13"/>
  <c r="Z279" i="13"/>
  <c r="Z280" i="13"/>
  <c r="Z281" i="13"/>
  <c r="Z282" i="13"/>
  <c r="Z284" i="13"/>
  <c r="Z285" i="13"/>
  <c r="Z287" i="13"/>
  <c r="Z277" i="13"/>
  <c r="J9" i="12"/>
  <c r="M8" i="12"/>
  <c r="K5" i="12"/>
  <c r="K6" i="12"/>
  <c r="K7" i="12"/>
  <c r="K8" i="12"/>
  <c r="K9" i="12"/>
  <c r="K10" i="12"/>
  <c r="K11" i="12"/>
  <c r="K12" i="12"/>
  <c r="K13" i="12"/>
  <c r="K14" i="12"/>
  <c r="K15" i="12"/>
  <c r="K4" i="12"/>
  <c r="M5" i="12"/>
  <c r="M6" i="12"/>
  <c r="M7" i="12"/>
  <c r="M9" i="12"/>
  <c r="M10" i="12"/>
  <c r="M11" i="12"/>
  <c r="M12" i="12"/>
  <c r="M13" i="12"/>
  <c r="M14" i="12"/>
  <c r="M15" i="12"/>
  <c r="M4" i="12"/>
  <c r="L5" i="12"/>
  <c r="L6" i="12"/>
  <c r="L7" i="12"/>
  <c r="L8" i="12"/>
  <c r="L9" i="12"/>
  <c r="L10" i="12"/>
  <c r="L11" i="12"/>
  <c r="L12" i="12"/>
  <c r="L13" i="12"/>
  <c r="L15" i="12"/>
  <c r="L4" i="12"/>
  <c r="J5" i="12"/>
  <c r="J6" i="12"/>
  <c r="J7" i="12"/>
  <c r="J8" i="12"/>
  <c r="J10" i="12"/>
  <c r="J11" i="12"/>
  <c r="J12" i="12"/>
  <c r="J13" i="12"/>
  <c r="J14" i="12"/>
  <c r="J15" i="12"/>
  <c r="J4" i="12"/>
  <c r="Z276" i="13"/>
  <c r="BL278" i="13"/>
  <c r="AC283" i="13"/>
  <c r="AC282" i="13"/>
  <c r="AC277" i="13"/>
  <c r="AC278" i="13"/>
  <c r="AC279" i="13"/>
  <c r="AC280" i="13"/>
  <c r="AC281" i="13"/>
  <c r="AC284" i="13"/>
  <c r="AC285" i="13"/>
  <c r="AC286" i="13"/>
  <c r="AC287" i="13"/>
  <c r="AC288" i="13"/>
  <c r="AC289" i="13"/>
  <c r="AC290" i="13"/>
  <c r="AC291" i="13"/>
  <c r="AC292" i="13"/>
  <c r="BC292" i="13" s="1"/>
  <c r="AC293" i="13"/>
  <c r="BC293" i="13" s="1"/>
  <c r="AC294" i="13"/>
  <c r="BC294" i="13" s="1"/>
  <c r="AC295" i="13"/>
  <c r="BC295" i="13" s="1"/>
  <c r="AC296" i="13"/>
  <c r="BC296" i="13" s="1"/>
  <c r="AC297" i="13"/>
  <c r="BC297" i="13" s="1"/>
  <c r="AC298" i="13"/>
  <c r="BC298" i="13" s="1"/>
  <c r="AC299" i="13"/>
  <c r="BC299" i="13" s="1"/>
  <c r="AC300" i="13"/>
  <c r="BC300" i="13" s="1"/>
  <c r="AC301" i="13"/>
  <c r="BC301" i="13" s="1"/>
  <c r="AC302" i="13"/>
  <c r="BC302" i="13" s="1"/>
  <c r="AC303" i="13"/>
  <c r="BC303" i="13" s="1"/>
  <c r="AC304" i="13"/>
  <c r="AC276" i="13"/>
  <c r="AB283" i="13"/>
  <c r="AB282" i="13"/>
  <c r="AB277" i="13"/>
  <c r="AB278" i="13"/>
  <c r="AB279" i="13"/>
  <c r="AB280" i="13"/>
  <c r="AB281" i="13"/>
  <c r="AB284" i="13"/>
  <c r="AB285" i="13"/>
  <c r="AB286" i="13"/>
  <c r="AB287" i="13"/>
  <c r="AB288" i="13"/>
  <c r="AB289" i="13"/>
  <c r="AB290" i="13"/>
  <c r="AB291" i="13"/>
  <c r="AB292" i="13"/>
  <c r="BB292" i="13" s="1"/>
  <c r="AB293" i="13"/>
  <c r="BB293" i="13" s="1"/>
  <c r="AB294" i="13"/>
  <c r="BB294" i="13" s="1"/>
  <c r="AB295" i="13"/>
  <c r="BB295" i="13" s="1"/>
  <c r="AB296" i="13"/>
  <c r="BB296" i="13" s="1"/>
  <c r="AB297" i="13"/>
  <c r="BB297" i="13" s="1"/>
  <c r="AB298" i="13"/>
  <c r="BB298" i="13" s="1"/>
  <c r="AB299" i="13"/>
  <c r="BB299" i="13" s="1"/>
  <c r="AB300" i="13"/>
  <c r="BB300" i="13" s="1"/>
  <c r="AB301" i="13"/>
  <c r="BB301" i="13" s="1"/>
  <c r="AB302" i="13"/>
  <c r="BB302" i="13" s="1"/>
  <c r="AB303" i="13"/>
  <c r="BB303" i="13" s="1"/>
  <c r="AB304" i="13"/>
  <c r="AB276" i="13"/>
  <c r="AE286" i="13"/>
  <c r="AE278" i="13"/>
  <c r="AE279" i="13"/>
  <c r="AE280" i="13"/>
  <c r="AE281" i="13"/>
  <c r="AE282" i="13"/>
  <c r="AE283" i="13"/>
  <c r="AE284" i="13"/>
  <c r="AE285" i="13"/>
  <c r="AE277" i="13"/>
  <c r="AE287" i="13"/>
  <c r="AE288" i="13"/>
  <c r="AE289" i="13"/>
  <c r="AE290" i="13"/>
  <c r="AE291" i="13"/>
  <c r="AE292" i="13"/>
  <c r="BE292" i="13" s="1"/>
  <c r="AE293" i="13"/>
  <c r="BE293" i="13" s="1"/>
  <c r="AE294" i="13"/>
  <c r="BE294" i="13" s="1"/>
  <c r="AE295" i="13"/>
  <c r="BE295" i="13" s="1"/>
  <c r="AE296" i="13"/>
  <c r="BE296" i="13" s="1"/>
  <c r="AE297" i="13"/>
  <c r="BE297" i="13" s="1"/>
  <c r="AE298" i="13"/>
  <c r="BE298" i="13" s="1"/>
  <c r="AE299" i="13"/>
  <c r="BE299" i="13" s="1"/>
  <c r="AE300" i="13"/>
  <c r="BE300" i="13" s="1"/>
  <c r="AE301" i="13"/>
  <c r="BE301" i="13" s="1"/>
  <c r="AE302" i="13"/>
  <c r="BE302" i="13" s="1"/>
  <c r="AE303" i="13"/>
  <c r="BE303" i="13" s="1"/>
  <c r="AE304" i="13"/>
  <c r="AE276" i="13"/>
  <c r="AD277" i="13"/>
  <c r="AD278" i="13"/>
  <c r="AD279" i="13"/>
  <c r="AD280" i="13"/>
  <c r="AD281" i="13"/>
  <c r="AD282" i="13"/>
  <c r="AD283" i="13"/>
  <c r="AD284" i="13"/>
  <c r="AD285" i="13"/>
  <c r="AD286" i="13"/>
  <c r="AD287" i="13"/>
  <c r="AD288" i="13"/>
  <c r="AD289" i="13"/>
  <c r="AD290" i="13"/>
  <c r="AD291" i="13"/>
  <c r="AD292" i="13"/>
  <c r="BD292" i="13" s="1"/>
  <c r="AD293" i="13"/>
  <c r="BD293" i="13" s="1"/>
  <c r="AD294" i="13"/>
  <c r="BD294" i="13" s="1"/>
  <c r="AD295" i="13"/>
  <c r="BD295" i="13" s="1"/>
  <c r="AD296" i="13"/>
  <c r="BD296" i="13" s="1"/>
  <c r="AD297" i="13"/>
  <c r="BD297" i="13" s="1"/>
  <c r="AD298" i="13"/>
  <c r="BD298" i="13" s="1"/>
  <c r="AD299" i="13"/>
  <c r="BD299" i="13" s="1"/>
  <c r="AD300" i="13"/>
  <c r="BD300" i="13" s="1"/>
  <c r="AD301" i="13"/>
  <c r="BD301" i="13" s="1"/>
  <c r="AD302" i="13"/>
  <c r="BD302" i="13" s="1"/>
  <c r="AD303" i="13"/>
  <c r="BD303" i="13" s="1"/>
  <c r="AD304" i="13"/>
  <c r="AD276" i="13"/>
  <c r="AC272" i="13"/>
  <c r="AC269" i="13"/>
  <c r="AC270" i="13"/>
  <c r="AC268" i="13"/>
  <c r="BL265" i="13"/>
  <c r="AB272" i="13"/>
  <c r="AB269" i="13"/>
  <c r="AB270" i="13"/>
  <c r="AB268" i="13"/>
  <c r="AA268" i="13"/>
  <c r="AA272" i="13"/>
  <c r="AA269" i="13"/>
  <c r="AA270" i="13"/>
  <c r="Z268" i="13"/>
  <c r="Z272" i="13"/>
  <c r="Z269" i="13"/>
  <c r="Z270" i="13"/>
  <c r="AA266" i="13"/>
  <c r="AA265" i="13"/>
  <c r="Z266" i="13"/>
  <c r="Z265" i="13"/>
  <c r="AC244" i="13"/>
  <c r="AC245" i="13"/>
  <c r="AC246" i="13"/>
  <c r="AC247" i="13"/>
  <c r="AC249" i="13"/>
  <c r="AC251" i="13"/>
  <c r="AC252" i="13"/>
  <c r="AC253" i="13"/>
  <c r="AC254" i="13"/>
  <c r="AC256" i="13"/>
  <c r="AC257" i="13"/>
  <c r="AC259" i="13"/>
  <c r="AC260" i="13"/>
  <c r="AC261" i="13"/>
  <c r="AC263" i="13"/>
  <c r="AC243" i="13"/>
  <c r="BL244" i="13"/>
  <c r="AB244" i="13"/>
  <c r="AB246" i="13"/>
  <c r="AB247" i="13"/>
  <c r="AB248" i="13"/>
  <c r="AB249" i="13"/>
  <c r="AB251" i="13"/>
  <c r="AB252" i="13"/>
  <c r="AB253" i="13"/>
  <c r="AB254" i="13"/>
  <c r="AB256" i="13"/>
  <c r="AB257" i="13"/>
  <c r="AB259" i="13"/>
  <c r="AB260" i="13"/>
  <c r="AB261" i="13"/>
  <c r="AB263" i="13"/>
  <c r="AB243" i="13"/>
  <c r="AA251" i="13"/>
  <c r="AA252" i="13"/>
  <c r="AA253" i="13"/>
  <c r="AA254" i="13"/>
  <c r="AA256" i="13"/>
  <c r="AA257" i="13"/>
  <c r="AA259" i="13"/>
  <c r="AA260" i="13"/>
  <c r="AA261" i="13"/>
  <c r="AA263" i="13"/>
  <c r="Z244" i="13"/>
  <c r="Z245" i="13"/>
  <c r="Z246" i="13"/>
  <c r="Z247" i="13"/>
  <c r="Z248" i="13"/>
  <c r="Z249" i="13"/>
  <c r="Z252" i="13"/>
  <c r="Z253" i="13"/>
  <c r="Z254" i="13"/>
  <c r="Z257" i="13"/>
  <c r="Z259" i="13"/>
  <c r="Z260" i="13"/>
  <c r="Z261" i="13"/>
  <c r="Z263" i="13"/>
  <c r="Z243" i="13"/>
  <c r="AE229" i="13"/>
  <c r="AE232" i="13"/>
  <c r="AE233" i="13"/>
  <c r="AE234" i="13"/>
  <c r="AE236" i="13"/>
  <c r="AE238" i="13"/>
  <c r="AE239" i="13"/>
  <c r="AE241" i="13"/>
  <c r="AD229" i="13"/>
  <c r="AD231" i="13"/>
  <c r="AD232" i="13"/>
  <c r="AD233" i="13"/>
  <c r="AD234" i="13"/>
  <c r="AD235" i="13"/>
  <c r="AD236" i="13"/>
  <c r="AD238" i="13"/>
  <c r="AD239" i="13"/>
  <c r="AD241" i="13"/>
  <c r="AD228" i="13"/>
  <c r="AC229" i="13"/>
  <c r="AC232" i="13"/>
  <c r="AC233" i="13"/>
  <c r="AC234" i="13"/>
  <c r="AC235" i="13"/>
  <c r="AC236" i="13"/>
  <c r="AC239" i="13"/>
  <c r="AC241" i="13"/>
  <c r="AC228" i="13"/>
  <c r="AB229" i="13"/>
  <c r="AB231" i="13"/>
  <c r="AB232" i="13"/>
  <c r="AB233" i="13"/>
  <c r="AB234" i="13"/>
  <c r="AB235" i="13"/>
  <c r="AB236" i="13"/>
  <c r="AB238" i="13"/>
  <c r="AB239" i="13"/>
  <c r="AB241" i="13"/>
  <c r="AB228" i="13"/>
  <c r="AA229" i="13"/>
  <c r="AA231" i="13"/>
  <c r="AA232" i="13"/>
  <c r="AA233" i="13"/>
  <c r="AA234" i="13"/>
  <c r="AA235" i="13"/>
  <c r="AA236" i="13"/>
  <c r="AA238" i="13"/>
  <c r="AA239" i="13"/>
  <c r="AA241" i="13"/>
  <c r="AA228" i="13"/>
  <c r="AE190" i="13"/>
  <c r="AE191" i="13"/>
  <c r="AE192" i="13"/>
  <c r="AE194" i="13"/>
  <c r="AE195" i="13"/>
  <c r="AE196" i="13"/>
  <c r="AE198" i="13"/>
  <c r="AE199" i="13"/>
  <c r="AE200" i="13"/>
  <c r="AE201" i="13"/>
  <c r="AE202" i="13"/>
  <c r="AE203" i="13"/>
  <c r="AE204" i="13"/>
  <c r="AE205" i="13"/>
  <c r="AE206" i="13"/>
  <c r="AE208" i="13"/>
  <c r="AE209" i="13"/>
  <c r="AE210" i="13"/>
  <c r="AE212" i="13"/>
  <c r="AE213" i="13"/>
  <c r="AE214" i="13"/>
  <c r="AE216" i="13"/>
  <c r="AE217" i="13"/>
  <c r="AE218" i="13"/>
  <c r="AE220" i="13"/>
  <c r="AE221" i="13"/>
  <c r="AE222" i="13"/>
  <c r="AE188" i="13"/>
  <c r="BL190" i="13"/>
  <c r="BL193" i="13" s="1"/>
  <c r="AD190" i="13"/>
  <c r="AD191" i="13"/>
  <c r="AD192" i="13"/>
  <c r="AD194" i="13"/>
  <c r="AD195" i="13"/>
  <c r="AD196" i="13"/>
  <c r="AD198" i="13"/>
  <c r="AD199" i="13"/>
  <c r="AD200" i="13"/>
  <c r="AD201" i="13"/>
  <c r="AD202" i="13"/>
  <c r="AD203" i="13"/>
  <c r="AD204" i="13"/>
  <c r="AD205" i="13"/>
  <c r="AD206" i="13"/>
  <c r="AD208" i="13"/>
  <c r="AD209" i="13"/>
  <c r="AD210" i="13"/>
  <c r="AD212" i="13"/>
  <c r="AD213" i="13"/>
  <c r="AD214" i="13"/>
  <c r="AD216" i="13"/>
  <c r="AD217" i="13"/>
  <c r="AD218" i="13"/>
  <c r="AD220" i="13"/>
  <c r="AD221" i="13"/>
  <c r="AD222" i="13"/>
  <c r="AD224" i="13"/>
  <c r="AD188" i="13"/>
  <c r="AC190" i="13"/>
  <c r="AC191" i="13"/>
  <c r="AC192" i="13"/>
  <c r="AC194" i="13"/>
  <c r="AC195" i="13"/>
  <c r="AC196" i="13"/>
  <c r="AC198" i="13"/>
  <c r="AC199" i="13"/>
  <c r="AC200" i="13"/>
  <c r="AC201" i="13"/>
  <c r="AC202" i="13"/>
  <c r="AC203" i="13"/>
  <c r="AC204" i="13"/>
  <c r="AC205" i="13"/>
  <c r="AC206" i="13"/>
  <c r="AC208" i="13"/>
  <c r="AC209" i="13"/>
  <c r="AC210" i="13"/>
  <c r="AC212" i="13"/>
  <c r="AC213" i="13"/>
  <c r="AC214" i="13"/>
  <c r="AC216" i="13"/>
  <c r="AC217" i="13"/>
  <c r="AC218" i="13"/>
  <c r="AC220" i="13"/>
  <c r="AC222" i="13"/>
  <c r="AC224" i="13"/>
  <c r="AC188" i="13"/>
  <c r="AB190" i="13"/>
  <c r="AB191" i="13"/>
  <c r="AB192" i="13"/>
  <c r="AB194" i="13"/>
  <c r="AB195" i="13"/>
  <c r="AB196" i="13"/>
  <c r="AB198" i="13"/>
  <c r="AB199" i="13"/>
  <c r="AB200" i="13"/>
  <c r="AB201" i="13"/>
  <c r="AB202" i="13"/>
  <c r="AB203" i="13"/>
  <c r="AB204" i="13"/>
  <c r="AB205" i="13"/>
  <c r="AB206" i="13"/>
  <c r="AB208" i="13"/>
  <c r="AB209" i="13"/>
  <c r="AB210" i="13"/>
  <c r="AB212" i="13"/>
  <c r="AB213" i="13"/>
  <c r="AB214" i="13"/>
  <c r="AB216" i="13"/>
  <c r="AB217" i="13"/>
  <c r="AB218" i="13"/>
  <c r="AB220" i="13"/>
  <c r="AB221" i="13"/>
  <c r="AB222" i="13"/>
  <c r="AB224" i="13"/>
  <c r="AB188" i="13"/>
  <c r="AA190" i="13"/>
  <c r="AA191" i="13"/>
  <c r="AA192" i="13"/>
  <c r="AA195" i="13"/>
  <c r="AA196" i="13"/>
  <c r="AA198" i="13"/>
  <c r="AA199" i="13"/>
  <c r="AA200" i="13"/>
  <c r="AA201" i="13"/>
  <c r="AA202" i="13"/>
  <c r="AA203" i="13"/>
  <c r="AA204" i="13"/>
  <c r="AA205" i="13"/>
  <c r="AA206" i="13"/>
  <c r="AA208" i="13"/>
  <c r="AA209" i="13"/>
  <c r="AA210" i="13"/>
  <c r="AA212" i="13"/>
  <c r="AA213" i="13"/>
  <c r="AA214" i="13"/>
  <c r="AA216" i="13"/>
  <c r="AA217" i="13"/>
  <c r="AA218" i="13"/>
  <c r="AA220" i="13"/>
  <c r="AA221" i="13"/>
  <c r="AA222" i="13"/>
  <c r="AA224" i="13"/>
  <c r="Z190" i="13"/>
  <c r="Z191" i="13"/>
  <c r="Z192" i="13"/>
  <c r="Z194" i="13"/>
  <c r="Z195" i="13"/>
  <c r="Z196" i="13"/>
  <c r="Z198" i="13"/>
  <c r="Z199" i="13"/>
  <c r="Z200" i="13"/>
  <c r="Z201" i="13"/>
  <c r="Z202" i="13"/>
  <c r="Z203" i="13"/>
  <c r="Z204" i="13"/>
  <c r="Z205" i="13"/>
  <c r="Z206" i="13"/>
  <c r="Z209" i="13"/>
  <c r="Z210" i="13"/>
  <c r="Z212" i="13"/>
  <c r="Z213" i="13"/>
  <c r="Z214" i="13"/>
  <c r="Z216" i="13"/>
  <c r="Z217" i="13"/>
  <c r="Z218" i="13"/>
  <c r="Z220" i="13"/>
  <c r="Z221" i="13"/>
  <c r="Z222" i="13"/>
  <c r="Z188" i="13"/>
  <c r="AA94" i="13"/>
  <c r="BA94" i="13" s="1"/>
  <c r="AA93" i="13"/>
  <c r="BA93" i="13" s="1"/>
  <c r="AE139" i="13"/>
  <c r="AE140" i="13"/>
  <c r="AE142" i="13"/>
  <c r="AE143" i="13"/>
  <c r="AE145" i="13"/>
  <c r="AE146" i="13"/>
  <c r="AE147" i="13"/>
  <c r="AE149" i="13"/>
  <c r="AE150" i="13"/>
  <c r="AE151" i="13"/>
  <c r="AE152" i="13"/>
  <c r="AE153" i="13"/>
  <c r="AE154" i="13"/>
  <c r="AE155" i="13"/>
  <c r="AE156" i="13"/>
  <c r="AE157" i="13"/>
  <c r="AE159" i="13"/>
  <c r="AE160" i="13"/>
  <c r="AE161" i="13"/>
  <c r="AE163" i="13"/>
  <c r="AE164" i="13"/>
  <c r="AE165" i="13"/>
  <c r="AE167" i="13"/>
  <c r="AE168" i="13"/>
  <c r="AE169" i="13"/>
  <c r="AE171" i="13"/>
  <c r="AE172" i="13"/>
  <c r="AE173" i="13"/>
  <c r="AE174" i="13"/>
  <c r="AE175" i="13"/>
  <c r="AE177" i="13"/>
  <c r="AE178" i="13"/>
  <c r="AE179" i="13"/>
  <c r="AE180" i="13"/>
  <c r="AE182" i="13"/>
  <c r="AE183" i="13"/>
  <c r="AE184" i="13"/>
  <c r="AE185" i="13"/>
  <c r="AE138" i="13"/>
  <c r="AD139" i="13"/>
  <c r="AD140" i="13"/>
  <c r="AD142" i="13"/>
  <c r="AD143" i="13"/>
  <c r="AD145" i="13"/>
  <c r="AD146" i="13"/>
  <c r="AD147" i="13"/>
  <c r="AD149" i="13"/>
  <c r="AD150" i="13"/>
  <c r="AD151" i="13"/>
  <c r="AD152" i="13"/>
  <c r="AD153" i="13"/>
  <c r="AD154" i="13"/>
  <c r="AD155" i="13"/>
  <c r="AD156" i="13"/>
  <c r="AD157" i="13"/>
  <c r="AD159" i="13"/>
  <c r="AD160" i="13"/>
  <c r="AD161" i="13"/>
  <c r="AD163" i="13"/>
  <c r="AD164" i="13"/>
  <c r="AD165" i="13"/>
  <c r="AD167" i="13"/>
  <c r="AD168" i="13"/>
  <c r="AD169" i="13"/>
  <c r="AD171" i="13"/>
  <c r="AD172" i="13"/>
  <c r="AD173" i="13"/>
  <c r="AD174" i="13"/>
  <c r="AD175" i="13"/>
  <c r="AD177" i="13"/>
  <c r="AD178" i="13"/>
  <c r="AD179" i="13"/>
  <c r="AD180" i="13"/>
  <c r="AD182" i="13"/>
  <c r="AD183" i="13"/>
  <c r="AD184" i="13"/>
  <c r="AD185" i="13"/>
  <c r="AD138" i="13"/>
  <c r="AC139" i="13"/>
  <c r="AC140" i="13"/>
  <c r="AC142" i="13"/>
  <c r="AC143" i="13"/>
  <c r="AC145" i="13"/>
  <c r="AC146" i="13"/>
  <c r="AC147" i="13"/>
  <c r="AC149" i="13"/>
  <c r="AC150" i="13"/>
  <c r="AC151" i="13"/>
  <c r="AC152" i="13"/>
  <c r="AC153" i="13"/>
  <c r="AC154" i="13"/>
  <c r="AC155" i="13"/>
  <c r="AC156" i="13"/>
  <c r="AC157" i="13"/>
  <c r="AC159" i="13"/>
  <c r="AC160" i="13"/>
  <c r="AC161" i="13"/>
  <c r="AC163" i="13"/>
  <c r="AC164" i="13"/>
  <c r="AC165" i="13"/>
  <c r="AC167" i="13"/>
  <c r="AC169" i="13"/>
  <c r="AC171" i="13"/>
  <c r="AC172" i="13"/>
  <c r="AC173" i="13"/>
  <c r="AC174" i="13"/>
  <c r="AC175" i="13"/>
  <c r="AC177" i="13"/>
  <c r="AC178" i="13"/>
  <c r="AC179" i="13"/>
  <c r="AC180" i="13"/>
  <c r="AC182" i="13"/>
  <c r="AC183" i="13"/>
  <c r="AC184" i="13"/>
  <c r="AC185" i="13"/>
  <c r="AC138" i="13"/>
  <c r="AB139" i="13"/>
  <c r="AB140" i="13"/>
  <c r="AB142" i="13"/>
  <c r="AB143" i="13"/>
  <c r="AB145" i="13"/>
  <c r="AB146" i="13"/>
  <c r="AB147" i="13"/>
  <c r="AB149" i="13"/>
  <c r="AB150" i="13"/>
  <c r="AB151" i="13"/>
  <c r="AB152" i="13"/>
  <c r="AB153" i="13"/>
  <c r="AB154" i="13"/>
  <c r="AB155" i="13"/>
  <c r="AB156" i="13"/>
  <c r="AB157" i="13"/>
  <c r="AB159" i="13"/>
  <c r="AB160" i="13"/>
  <c r="AB161" i="13"/>
  <c r="AB163" i="13"/>
  <c r="AB164" i="13"/>
  <c r="AB165" i="13"/>
  <c r="AB167" i="13"/>
  <c r="AB168" i="13"/>
  <c r="AB169" i="13"/>
  <c r="AB171" i="13"/>
  <c r="AB172" i="13"/>
  <c r="AB173" i="13"/>
  <c r="AB174" i="13"/>
  <c r="AB175" i="13"/>
  <c r="AB177" i="13"/>
  <c r="AB178" i="13"/>
  <c r="AB179" i="13"/>
  <c r="AB180" i="13"/>
  <c r="AB182" i="13"/>
  <c r="AB183" i="13"/>
  <c r="AB184" i="13"/>
  <c r="AB185" i="13"/>
  <c r="AB138" i="13"/>
  <c r="AA139" i="13"/>
  <c r="AA140" i="13"/>
  <c r="AA142" i="13"/>
  <c r="AA143" i="13"/>
  <c r="AA146" i="13"/>
  <c r="AA147" i="13"/>
  <c r="AA150" i="13"/>
  <c r="AA151" i="13"/>
  <c r="AA152" i="13"/>
  <c r="AA153" i="13"/>
  <c r="AA154" i="13"/>
  <c r="AA155" i="13"/>
  <c r="AA156" i="13"/>
  <c r="AA157" i="13"/>
  <c r="AA159" i="13"/>
  <c r="AA160" i="13"/>
  <c r="AA161" i="13"/>
  <c r="AA163" i="13"/>
  <c r="AA164" i="13"/>
  <c r="AA165" i="13"/>
  <c r="AA167" i="13"/>
  <c r="AA168" i="13"/>
  <c r="AA169" i="13"/>
  <c r="AA171" i="13"/>
  <c r="AA172" i="13"/>
  <c r="AA173" i="13"/>
  <c r="AA174" i="13"/>
  <c r="AA175" i="13"/>
  <c r="AA177" i="13"/>
  <c r="AA178" i="13"/>
  <c r="AA179" i="13"/>
  <c r="AA180" i="13"/>
  <c r="AA183" i="13"/>
  <c r="AA184" i="13"/>
  <c r="AA185" i="13"/>
  <c r="Z139" i="13"/>
  <c r="Z140" i="13"/>
  <c r="Z142" i="13"/>
  <c r="Z143" i="13"/>
  <c r="Z145" i="13"/>
  <c r="Z146" i="13"/>
  <c r="Z147" i="13"/>
  <c r="Z150" i="13"/>
  <c r="Z151" i="13"/>
  <c r="Z152" i="13"/>
  <c r="Z153" i="13"/>
  <c r="Z154" i="13"/>
  <c r="Z155" i="13"/>
  <c r="Z156" i="13"/>
  <c r="Z157" i="13"/>
  <c r="Z160" i="13"/>
  <c r="Z161" i="13"/>
  <c r="Z163" i="13"/>
  <c r="Z164" i="13"/>
  <c r="Z165" i="13"/>
  <c r="Z167" i="13"/>
  <c r="Z168" i="13"/>
  <c r="Z169" i="13"/>
  <c r="Z171" i="13"/>
  <c r="Z172" i="13"/>
  <c r="Z173" i="13"/>
  <c r="Z174" i="13"/>
  <c r="Z175" i="13"/>
  <c r="Z177" i="13"/>
  <c r="Z178" i="13"/>
  <c r="Z179" i="13"/>
  <c r="Z180" i="13"/>
  <c r="Z182" i="13"/>
  <c r="Z184" i="13"/>
  <c r="Z185" i="13"/>
  <c r="AE93" i="13"/>
  <c r="BE93" i="13" s="1"/>
  <c r="AE94" i="13"/>
  <c r="BE94" i="13" s="1"/>
  <c r="AE96" i="13"/>
  <c r="BE96" i="13" s="1"/>
  <c r="AE97" i="13"/>
  <c r="BE97" i="13" s="1"/>
  <c r="AE98" i="13"/>
  <c r="BE98" i="13" s="1"/>
  <c r="AE99" i="13"/>
  <c r="BE99" i="13" s="1"/>
  <c r="AE101" i="13"/>
  <c r="AE102" i="13"/>
  <c r="BE102" i="13" s="1"/>
  <c r="AE104" i="13"/>
  <c r="BE104" i="13" s="1"/>
  <c r="AE105" i="13"/>
  <c r="BE105" i="13" s="1"/>
  <c r="AE107" i="13"/>
  <c r="AE108" i="13"/>
  <c r="BE108" i="13" s="1"/>
  <c r="AE110" i="13"/>
  <c r="BE110" i="13" s="1"/>
  <c r="AE111" i="13"/>
  <c r="BE111" i="13" s="1"/>
  <c r="AE113" i="13"/>
  <c r="AE114" i="13"/>
  <c r="BE114" i="13" s="1"/>
  <c r="AE116" i="13"/>
  <c r="BE116" i="13" s="1"/>
  <c r="AE117" i="13"/>
  <c r="BE117" i="13" s="1"/>
  <c r="AE118" i="13"/>
  <c r="BE118" i="13" s="1"/>
  <c r="AE120" i="13"/>
  <c r="BE120" i="13" s="1"/>
  <c r="AE121" i="13"/>
  <c r="BE121" i="13" s="1"/>
  <c r="AE122" i="13"/>
  <c r="BE122" i="13" s="1"/>
  <c r="AE123" i="13"/>
  <c r="BE123" i="13" s="1"/>
  <c r="AE125" i="13"/>
  <c r="AE126" i="13"/>
  <c r="BE126" i="13" s="1"/>
  <c r="AE128" i="13"/>
  <c r="BE128" i="13" s="1"/>
  <c r="AE129" i="13"/>
  <c r="BE129" i="13" s="1"/>
  <c r="AE130" i="13"/>
  <c r="BE130" i="13" s="1"/>
  <c r="AE131" i="13"/>
  <c r="BE131" i="13" s="1"/>
  <c r="AE132" i="13"/>
  <c r="BE132" i="13" s="1"/>
  <c r="AE134" i="13"/>
  <c r="AE135" i="13"/>
  <c r="BE135" i="13" s="1"/>
  <c r="AE92" i="13"/>
  <c r="BE92" i="13" s="1"/>
  <c r="AD93" i="13"/>
  <c r="BD93" i="13" s="1"/>
  <c r="AD94" i="13"/>
  <c r="BD94" i="13" s="1"/>
  <c r="AD96" i="13"/>
  <c r="BD96" i="13" s="1"/>
  <c r="AD97" i="13"/>
  <c r="BD97" i="13" s="1"/>
  <c r="AD98" i="13"/>
  <c r="BD98" i="13" s="1"/>
  <c r="AD99" i="13"/>
  <c r="BD99" i="13" s="1"/>
  <c r="AD101" i="13"/>
  <c r="AD102" i="13"/>
  <c r="BD102" i="13" s="1"/>
  <c r="AD105" i="13"/>
  <c r="AD110" i="13"/>
  <c r="AD111" i="13"/>
  <c r="BD111" i="13" s="1"/>
  <c r="AD113" i="13"/>
  <c r="BD113" i="13" s="1"/>
  <c r="AD114" i="13"/>
  <c r="BD114" i="13" s="1"/>
  <c r="AD116" i="13"/>
  <c r="BD116" i="13" s="1"/>
  <c r="AD117" i="13"/>
  <c r="AD118" i="13"/>
  <c r="BD118" i="13" s="1"/>
  <c r="AD120" i="13"/>
  <c r="BD120" i="13" s="1"/>
  <c r="AD121" i="13"/>
  <c r="BD121" i="13" s="1"/>
  <c r="AD122" i="13"/>
  <c r="AD123" i="13"/>
  <c r="BD123" i="13" s="1"/>
  <c r="AD125" i="13"/>
  <c r="BD125" i="13" s="1"/>
  <c r="AD126" i="13"/>
  <c r="BD126" i="13" s="1"/>
  <c r="AD128" i="13"/>
  <c r="BD128" i="13" s="1"/>
  <c r="AD129" i="13"/>
  <c r="BD129" i="13" s="1"/>
  <c r="AD130" i="13"/>
  <c r="BD130" i="13" s="1"/>
  <c r="AD131" i="13"/>
  <c r="BD131" i="13" s="1"/>
  <c r="AD132" i="13"/>
  <c r="BD132" i="13" s="1"/>
  <c r="AD133" i="13"/>
  <c r="BD133" i="13" s="1"/>
  <c r="AD134" i="13"/>
  <c r="BD134" i="13" s="1"/>
  <c r="AD135" i="13"/>
  <c r="BD135" i="13" s="1"/>
  <c r="AB116" i="13"/>
  <c r="BB116" i="13" s="1"/>
  <c r="AB117" i="13"/>
  <c r="BB117" i="13" s="1"/>
  <c r="AB118" i="13"/>
  <c r="BB118" i="13" s="1"/>
  <c r="AB120" i="13"/>
  <c r="BB120" i="13" s="1"/>
  <c r="AB121" i="13"/>
  <c r="BB121" i="13" s="1"/>
  <c r="AB122" i="13"/>
  <c r="BB122" i="13" s="1"/>
  <c r="AB123" i="13"/>
  <c r="BB123" i="13" s="1"/>
  <c r="AB125" i="13"/>
  <c r="AB126" i="13"/>
  <c r="BB126" i="13" s="1"/>
  <c r="AB128" i="13"/>
  <c r="BB128" i="13" s="1"/>
  <c r="AB130" i="13"/>
  <c r="BB130" i="13" s="1"/>
  <c r="AB131" i="13"/>
  <c r="BB131" i="13" s="1"/>
  <c r="AB132" i="13"/>
  <c r="BB132" i="13" s="1"/>
  <c r="AB133" i="13"/>
  <c r="BB133" i="13" s="1"/>
  <c r="AB134" i="13"/>
  <c r="BB134" i="13" s="1"/>
  <c r="AB135" i="13"/>
  <c r="BB135" i="13" s="1"/>
  <c r="AB110" i="13"/>
  <c r="AB111" i="13"/>
  <c r="BB111" i="13" s="1"/>
  <c r="AB113" i="13"/>
  <c r="AB93" i="13"/>
  <c r="AB94" i="13"/>
  <c r="BB94" i="13" s="1"/>
  <c r="AB96" i="13"/>
  <c r="BB96" i="13" s="1"/>
  <c r="AB99" i="13"/>
  <c r="BB99" i="13" s="1"/>
  <c r="AB101" i="13"/>
  <c r="AB102" i="13"/>
  <c r="BB102" i="13" s="1"/>
  <c r="AB92" i="13"/>
  <c r="BB92" i="13" s="1"/>
  <c r="AC93" i="13"/>
  <c r="BC93" i="13" s="1"/>
  <c r="AC94" i="13"/>
  <c r="BC94" i="13" s="1"/>
  <c r="AC96" i="13"/>
  <c r="BC96" i="13" s="1"/>
  <c r="AC97" i="13"/>
  <c r="BC97" i="13" s="1"/>
  <c r="AC98" i="13"/>
  <c r="BC98" i="13" s="1"/>
  <c r="AC99" i="13"/>
  <c r="BC99" i="13" s="1"/>
  <c r="AC101" i="13"/>
  <c r="AC102" i="13"/>
  <c r="BC102" i="13" s="1"/>
  <c r="AC104" i="13"/>
  <c r="BC104" i="13" s="1"/>
  <c r="AC105" i="13"/>
  <c r="BC105" i="13" s="1"/>
  <c r="AC107" i="13"/>
  <c r="AC108" i="13"/>
  <c r="BC108" i="13" s="1"/>
  <c r="AC110" i="13"/>
  <c r="BC110" i="13" s="1"/>
  <c r="AC111" i="13"/>
  <c r="BC111" i="13" s="1"/>
  <c r="AC113" i="13"/>
  <c r="AC114" i="13"/>
  <c r="BC114" i="13" s="1"/>
  <c r="AC116" i="13"/>
  <c r="BC116" i="13" s="1"/>
  <c r="AC117" i="13"/>
  <c r="AC118" i="13"/>
  <c r="BC118" i="13" s="1"/>
  <c r="AC120" i="13"/>
  <c r="BC120" i="13" s="1"/>
  <c r="AC121" i="13"/>
  <c r="BC121" i="13" s="1"/>
  <c r="AC122" i="13"/>
  <c r="AC123" i="13"/>
  <c r="BC123" i="13" s="1"/>
  <c r="AC125" i="13"/>
  <c r="BC125" i="13" s="1"/>
  <c r="AC126" i="13"/>
  <c r="BC126" i="13" s="1"/>
  <c r="AC128" i="13"/>
  <c r="BC128" i="13" s="1"/>
  <c r="AC129" i="13"/>
  <c r="BC129" i="13" s="1"/>
  <c r="AC131" i="13"/>
  <c r="BC131" i="13" s="1"/>
  <c r="AC132" i="13"/>
  <c r="BC132" i="13" s="1"/>
  <c r="AC133" i="13"/>
  <c r="BC133" i="13" s="1"/>
  <c r="AC134" i="13"/>
  <c r="AC135" i="13"/>
  <c r="BC135" i="13" s="1"/>
  <c r="AC92" i="13"/>
  <c r="BC92" i="13" s="1"/>
  <c r="AA116" i="13"/>
  <c r="BA116" i="13" s="1"/>
  <c r="AA117" i="13"/>
  <c r="AA118" i="13"/>
  <c r="BA118" i="13" s="1"/>
  <c r="AA120" i="13"/>
  <c r="BA120" i="13" s="1"/>
  <c r="AA121" i="13"/>
  <c r="BA121" i="13" s="1"/>
  <c r="AA122" i="13"/>
  <c r="AA125" i="13"/>
  <c r="BA125" i="13" s="1"/>
  <c r="AA126" i="13"/>
  <c r="BA126" i="13" s="1"/>
  <c r="AA128" i="13"/>
  <c r="BA128" i="13" s="1"/>
  <c r="AA129" i="13"/>
  <c r="BA129" i="13" s="1"/>
  <c r="AA131" i="13"/>
  <c r="BA131" i="13" s="1"/>
  <c r="AA132" i="13"/>
  <c r="BA132" i="13" s="1"/>
  <c r="AA133" i="13"/>
  <c r="BA133" i="13" s="1"/>
  <c r="AA134" i="13"/>
  <c r="AA108" i="13"/>
  <c r="AA110" i="13"/>
  <c r="BA110" i="13" s="1"/>
  <c r="AA111" i="13"/>
  <c r="BA111" i="13" s="1"/>
  <c r="AA113" i="13"/>
  <c r="AA114" i="13"/>
  <c r="BA114" i="13" s="1"/>
  <c r="AA97" i="13"/>
  <c r="BA97" i="13" s="1"/>
  <c r="AA98" i="13"/>
  <c r="AA99" i="13"/>
  <c r="BA99" i="13" s="1"/>
  <c r="Z93" i="13"/>
  <c r="AZ93" i="13" s="1"/>
  <c r="Z94" i="13"/>
  <c r="AZ94" i="13" s="1"/>
  <c r="Z96" i="13"/>
  <c r="AZ96" i="13" s="1"/>
  <c r="Z97" i="13"/>
  <c r="AZ97" i="13" s="1"/>
  <c r="Z98" i="13"/>
  <c r="AZ98" i="13" s="1"/>
  <c r="Z99" i="13"/>
  <c r="AZ99" i="13" s="1"/>
  <c r="Z101" i="13"/>
  <c r="Z102" i="13"/>
  <c r="AZ102" i="13" s="1"/>
  <c r="Z104" i="13"/>
  <c r="AZ104" i="13" s="1"/>
  <c r="Z105" i="13"/>
  <c r="AZ105" i="13" s="1"/>
  <c r="Z107" i="13"/>
  <c r="Z108" i="13"/>
  <c r="AZ108" i="13" s="1"/>
  <c r="Z110" i="13"/>
  <c r="AZ110" i="13" s="1"/>
  <c r="Z111" i="13"/>
  <c r="AZ111" i="13" s="1"/>
  <c r="Z113" i="13"/>
  <c r="Z114" i="13"/>
  <c r="AZ114" i="13" s="1"/>
  <c r="Z116" i="13"/>
  <c r="AZ116" i="13" s="1"/>
  <c r="Z117" i="13"/>
  <c r="AZ117" i="13" s="1"/>
  <c r="Z118" i="13"/>
  <c r="AZ118" i="13" s="1"/>
  <c r="Z120" i="13"/>
  <c r="AZ120" i="13" s="1"/>
  <c r="Z121" i="13"/>
  <c r="AZ121" i="13" s="1"/>
  <c r="Z123" i="13"/>
  <c r="AZ123" i="13" s="1"/>
  <c r="Z125" i="13"/>
  <c r="Z128" i="13"/>
  <c r="AZ128" i="13" s="1"/>
  <c r="Z130" i="13"/>
  <c r="AZ130" i="13" s="1"/>
  <c r="Z131" i="13"/>
  <c r="AZ131" i="13" s="1"/>
  <c r="Z132" i="13"/>
  <c r="AZ132" i="13" s="1"/>
  <c r="Z133" i="13"/>
  <c r="AZ133" i="13" s="1"/>
  <c r="Z134" i="13"/>
  <c r="Z92" i="13"/>
  <c r="AZ119" i="13" l="1"/>
  <c r="BC112" i="13"/>
  <c r="BC106" i="13"/>
  <c r="BC100" i="13"/>
  <c r="BC95" i="13"/>
  <c r="BD127" i="13"/>
  <c r="BD100" i="13"/>
  <c r="BD95" i="13"/>
  <c r="BE124" i="13"/>
  <c r="BE119" i="13"/>
  <c r="BA112" i="13"/>
  <c r="BB136" i="13"/>
  <c r="BD136" i="13"/>
  <c r="BA95" i="13"/>
  <c r="AZ92" i="13"/>
  <c r="AA115" i="13"/>
  <c r="BA113" i="13"/>
  <c r="BA115" i="13" s="1"/>
  <c r="AA136" i="13"/>
  <c r="BA134" i="13"/>
  <c r="BA136" i="13" s="1"/>
  <c r="AA124" i="13"/>
  <c r="BA122" i="13"/>
  <c r="BA124" i="13" s="1"/>
  <c r="AA119" i="13"/>
  <c r="BA117" i="13"/>
  <c r="BA119" i="13" s="1"/>
  <c r="AC136" i="13"/>
  <c r="BC134" i="13"/>
  <c r="BC136" i="13" s="1"/>
  <c r="AC115" i="13"/>
  <c r="BC113" i="13"/>
  <c r="BC115" i="13" s="1"/>
  <c r="AC109" i="13"/>
  <c r="BC107" i="13"/>
  <c r="BC109" i="13" s="1"/>
  <c r="AC103" i="13"/>
  <c r="BC101" i="13"/>
  <c r="BC103" i="13" s="1"/>
  <c r="AB112" i="13"/>
  <c r="BB110" i="13"/>
  <c r="BB112" i="13" s="1"/>
  <c r="AD124" i="13"/>
  <c r="BD122" i="13"/>
  <c r="BD124" i="13" s="1"/>
  <c r="AD119" i="13"/>
  <c r="BD117" i="13"/>
  <c r="BD119" i="13" s="1"/>
  <c r="AD103" i="13"/>
  <c r="BD101" i="13"/>
  <c r="BD103" i="13" s="1"/>
  <c r="AE127" i="13"/>
  <c r="BE125" i="13"/>
  <c r="BE127" i="13" s="1"/>
  <c r="Z181" i="13"/>
  <c r="Z166" i="13"/>
  <c r="Z144" i="13"/>
  <c r="AA170" i="13"/>
  <c r="AB181" i="13"/>
  <c r="AB166" i="13"/>
  <c r="AB141" i="13"/>
  <c r="AC144" i="13"/>
  <c r="AD162" i="13"/>
  <c r="AE181" i="13"/>
  <c r="AE166" i="13"/>
  <c r="AE141" i="13"/>
  <c r="Z189" i="13"/>
  <c r="AA219" i="13"/>
  <c r="AB219" i="13"/>
  <c r="AC219" i="13"/>
  <c r="AE211" i="13"/>
  <c r="AA189" i="13"/>
  <c r="AA109" i="13"/>
  <c r="BA108" i="13"/>
  <c r="BA109" i="13" s="1"/>
  <c r="AC189" i="13"/>
  <c r="AD189" i="13"/>
  <c r="AC230" i="13"/>
  <c r="AZ112" i="13"/>
  <c r="AZ106" i="13"/>
  <c r="AZ100" i="13"/>
  <c r="AZ95" i="13"/>
  <c r="BA127" i="13"/>
  <c r="BC127" i="13"/>
  <c r="BB124" i="13"/>
  <c r="BB119" i="13"/>
  <c r="BD115" i="13"/>
  <c r="BE112" i="13"/>
  <c r="BE106" i="13"/>
  <c r="BE100" i="13"/>
  <c r="BE95" i="13"/>
  <c r="BB100" i="13"/>
  <c r="Z136" i="13"/>
  <c r="AZ134" i="13"/>
  <c r="AZ136" i="13" s="1"/>
  <c r="AB115" i="13"/>
  <c r="BB113" i="13"/>
  <c r="BB115" i="13" s="1"/>
  <c r="AD106" i="13"/>
  <c r="BD105" i="13"/>
  <c r="BD106" i="13" s="1"/>
  <c r="AB189" i="13"/>
  <c r="Z127" i="13"/>
  <c r="AZ125" i="13"/>
  <c r="AZ127" i="13" s="1"/>
  <c r="Z115" i="13"/>
  <c r="AZ113" i="13"/>
  <c r="AZ115" i="13" s="1"/>
  <c r="Z109" i="13"/>
  <c r="AZ107" i="13"/>
  <c r="AZ109" i="13" s="1"/>
  <c r="Z103" i="13"/>
  <c r="AZ101" i="13"/>
  <c r="AZ103" i="13" s="1"/>
  <c r="AA100" i="13"/>
  <c r="BA98" i="13"/>
  <c r="BA100" i="13" s="1"/>
  <c r="AC124" i="13"/>
  <c r="BC122" i="13"/>
  <c r="BC124" i="13" s="1"/>
  <c r="AC119" i="13"/>
  <c r="BC117" i="13"/>
  <c r="BC119" i="13" s="1"/>
  <c r="AB103" i="13"/>
  <c r="BB101" i="13"/>
  <c r="BB103" i="13" s="1"/>
  <c r="AB95" i="13"/>
  <c r="BB93" i="13"/>
  <c r="BB95" i="13" s="1"/>
  <c r="AB127" i="13"/>
  <c r="BB125" i="13"/>
  <c r="BB127" i="13" s="1"/>
  <c r="AD112" i="13"/>
  <c r="BD110" i="13"/>
  <c r="BD112" i="13" s="1"/>
  <c r="AE136" i="13"/>
  <c r="BE134" i="13"/>
  <c r="BE136" i="13" s="1"/>
  <c r="AE115" i="13"/>
  <c r="BE113" i="13"/>
  <c r="BE115" i="13" s="1"/>
  <c r="AE109" i="13"/>
  <c r="BE107" i="13"/>
  <c r="BE109" i="13" s="1"/>
  <c r="AE103" i="13"/>
  <c r="BE101" i="13"/>
  <c r="BE103" i="13" s="1"/>
  <c r="Z176" i="13"/>
  <c r="Z170" i="13"/>
  <c r="AA186" i="13"/>
  <c r="AA141" i="13"/>
  <c r="AB186" i="13"/>
  <c r="AB176" i="13"/>
  <c r="AB170" i="13"/>
  <c r="AC162" i="13"/>
  <c r="AD181" i="13"/>
  <c r="AD166" i="13"/>
  <c r="AD148" i="13"/>
  <c r="AD141" i="13"/>
  <c r="AE189" i="13"/>
  <c r="AA230" i="13"/>
  <c r="Z267" i="13"/>
  <c r="AZ124" i="13"/>
  <c r="AA176" i="13"/>
  <c r="AB148" i="13"/>
  <c r="AC186" i="13"/>
  <c r="AE148" i="13"/>
  <c r="AA215" i="13"/>
  <c r="AB215" i="13"/>
  <c r="AC215" i="13"/>
  <c r="AE223" i="13"/>
  <c r="AE197" i="13"/>
  <c r="AE193" i="13"/>
  <c r="AA240" i="13"/>
  <c r="AB230" i="13"/>
  <c r="AD230" i="13"/>
  <c r="AB250" i="13"/>
  <c r="AB262" i="13"/>
  <c r="AC271" i="13"/>
  <c r="AC273" i="13" s="1"/>
  <c r="AA95" i="13"/>
  <c r="AD305" i="13"/>
  <c r="Z237" i="13"/>
  <c r="Z119" i="13"/>
  <c r="AA112" i="13"/>
  <c r="AC112" i="13"/>
  <c r="AC106" i="13"/>
  <c r="AC100" i="13"/>
  <c r="AC95" i="13"/>
  <c r="AB136" i="13"/>
  <c r="AD136" i="13"/>
  <c r="AD127" i="13"/>
  <c r="AD100" i="13"/>
  <c r="AD95" i="13"/>
  <c r="AE124" i="13"/>
  <c r="AE119" i="13"/>
  <c r="Z148" i="13"/>
  <c r="Z141" i="13"/>
  <c r="AA162" i="13"/>
  <c r="AB144" i="13"/>
  <c r="AC166" i="13"/>
  <c r="AC148" i="13"/>
  <c r="AC141" i="13"/>
  <c r="AD186" i="13"/>
  <c r="AD176" i="13"/>
  <c r="AD170" i="13"/>
  <c r="AD158" i="13"/>
  <c r="AE144" i="13"/>
  <c r="Z197" i="13"/>
  <c r="Z193" i="13"/>
  <c r="AA223" i="13"/>
  <c r="AA211" i="13"/>
  <c r="AA197" i="13"/>
  <c r="AB223" i="13"/>
  <c r="AB211" i="13"/>
  <c r="AB197" i="13"/>
  <c r="AB193" i="13"/>
  <c r="AC223" i="13"/>
  <c r="AC211" i="13"/>
  <c r="AC197" i="13"/>
  <c r="AC193" i="13"/>
  <c r="AD207" i="13"/>
  <c r="AE219" i="13"/>
  <c r="AE215" i="13"/>
  <c r="AA237" i="13"/>
  <c r="AB258" i="13"/>
  <c r="AB255" i="13"/>
  <c r="Z271" i="13"/>
  <c r="AA271" i="13"/>
  <c r="AA273" i="13" s="1"/>
  <c r="AB305" i="13"/>
  <c r="Z158" i="13"/>
  <c r="AA158" i="13"/>
  <c r="AC170" i="13"/>
  <c r="AC240" i="13"/>
  <c r="Z230" i="13"/>
  <c r="Z258" i="13"/>
  <c r="AB158" i="13"/>
  <c r="AE186" i="13"/>
  <c r="AE176" i="13"/>
  <c r="AE170" i="13"/>
  <c r="AE158" i="13"/>
  <c r="Z219" i="13"/>
  <c r="Z215" i="13"/>
  <c r="Z207" i="13"/>
  <c r="AA207" i="13"/>
  <c r="AA193" i="13"/>
  <c r="AB207" i="13"/>
  <c r="AC207" i="13"/>
  <c r="AD219" i="13"/>
  <c r="AD215" i="13"/>
  <c r="AB237" i="13"/>
  <c r="AD237" i="13"/>
  <c r="AE240" i="13"/>
  <c r="AA262" i="13"/>
  <c r="AC250" i="13"/>
  <c r="AC262" i="13"/>
  <c r="AE305" i="13"/>
  <c r="Z305" i="13"/>
  <c r="Z186" i="13"/>
  <c r="AE237" i="13"/>
  <c r="Z255" i="13"/>
  <c r="Z124" i="13"/>
  <c r="AC176" i="13"/>
  <c r="Z273" i="13"/>
  <c r="Z112" i="13"/>
  <c r="Z106" i="13"/>
  <c r="Z100" i="13"/>
  <c r="Z95" i="13"/>
  <c r="AA127" i="13"/>
  <c r="AA137" i="13" s="1"/>
  <c r="AC127" i="13"/>
  <c r="AB124" i="13"/>
  <c r="AB119" i="13"/>
  <c r="AD115" i="13"/>
  <c r="AE112" i="13"/>
  <c r="AE106" i="13"/>
  <c r="AE100" i="13"/>
  <c r="AE95" i="13"/>
  <c r="Z162" i="13"/>
  <c r="AA181" i="13"/>
  <c r="AA166" i="13"/>
  <c r="AA144" i="13"/>
  <c r="AB162" i="13"/>
  <c r="AC181" i="13"/>
  <c r="AC158" i="13"/>
  <c r="AD144" i="13"/>
  <c r="AE162" i="13"/>
  <c r="Z223" i="13"/>
  <c r="Z211" i="13"/>
  <c r="AD223" i="13"/>
  <c r="AD211" i="13"/>
  <c r="AD197" i="13"/>
  <c r="AD193" i="13"/>
  <c r="AE207" i="13"/>
  <c r="AB240" i="13"/>
  <c r="AC237" i="13"/>
  <c r="AD240" i="13"/>
  <c r="Z250" i="13"/>
  <c r="Z262" i="13"/>
  <c r="AA258" i="13"/>
  <c r="AA255" i="13"/>
  <c r="AC258" i="13"/>
  <c r="AC255" i="13"/>
  <c r="AA267" i="13"/>
  <c r="AB271" i="13"/>
  <c r="AB273" i="13" s="1"/>
  <c r="AC305" i="13"/>
  <c r="AA148" i="13"/>
  <c r="Z240" i="13"/>
  <c r="AE230" i="13"/>
  <c r="AA250" i="13"/>
  <c r="AB100" i="13"/>
  <c r="BN225" i="13"/>
  <c r="BM225" i="13"/>
  <c r="BL225" i="13"/>
  <c r="I136" i="13"/>
  <c r="J136" i="13"/>
  <c r="L136" i="13"/>
  <c r="M136" i="13"/>
  <c r="F136" i="13"/>
  <c r="G136" i="13"/>
  <c r="D136" i="13"/>
  <c r="I127" i="13"/>
  <c r="J127" i="13"/>
  <c r="L127" i="13"/>
  <c r="M127" i="13"/>
  <c r="D127" i="13"/>
  <c r="F127" i="13"/>
  <c r="G127" i="13"/>
  <c r="I124" i="13"/>
  <c r="J124" i="13"/>
  <c r="L124" i="13"/>
  <c r="M124" i="13"/>
  <c r="F124" i="13"/>
  <c r="G124" i="13"/>
  <c r="D124" i="13"/>
  <c r="M119" i="13"/>
  <c r="G119" i="13"/>
  <c r="I119" i="13"/>
  <c r="J119" i="13"/>
  <c r="L119" i="13"/>
  <c r="D119" i="13"/>
  <c r="F119" i="13"/>
  <c r="M115" i="13"/>
  <c r="F115" i="13"/>
  <c r="G115" i="13"/>
  <c r="I115" i="13"/>
  <c r="J115" i="13"/>
  <c r="L115" i="13"/>
  <c r="D115" i="13"/>
  <c r="I112" i="13"/>
  <c r="J112" i="13"/>
  <c r="L112" i="13"/>
  <c r="M112" i="13"/>
  <c r="D112" i="13"/>
  <c r="F112" i="13"/>
  <c r="G112" i="13"/>
  <c r="L109" i="13"/>
  <c r="M109" i="13"/>
  <c r="G109" i="13"/>
  <c r="I109" i="13"/>
  <c r="J109" i="13"/>
  <c r="D109" i="13"/>
  <c r="F109" i="13"/>
  <c r="L106" i="13"/>
  <c r="M106" i="13"/>
  <c r="G106" i="13"/>
  <c r="I106" i="13"/>
  <c r="J106" i="13"/>
  <c r="D106" i="13"/>
  <c r="F106" i="13"/>
  <c r="L103" i="13"/>
  <c r="M103" i="13"/>
  <c r="F103" i="13"/>
  <c r="G103" i="13"/>
  <c r="I103" i="13"/>
  <c r="J103" i="13"/>
  <c r="D103" i="13"/>
  <c r="M100" i="13"/>
  <c r="I100" i="13"/>
  <c r="J100" i="13"/>
  <c r="L100" i="13"/>
  <c r="D100" i="13"/>
  <c r="F100" i="13"/>
  <c r="G100" i="13"/>
  <c r="J95" i="13"/>
  <c r="L95" i="13"/>
  <c r="M95" i="13"/>
  <c r="D95" i="13"/>
  <c r="F95" i="13"/>
  <c r="G95" i="13"/>
  <c r="I95" i="13"/>
  <c r="C136" i="13"/>
  <c r="C127" i="13"/>
  <c r="C124" i="13"/>
  <c r="C119" i="13"/>
  <c r="C115" i="13"/>
  <c r="C112" i="13"/>
  <c r="C109" i="13"/>
  <c r="C106" i="13"/>
  <c r="C103" i="13"/>
  <c r="C100" i="13"/>
  <c r="C95" i="13"/>
  <c r="AB242" i="13" l="1"/>
  <c r="AC137" i="13"/>
  <c r="BB137" i="13"/>
  <c r="AE225" i="13"/>
  <c r="AA242" i="13"/>
  <c r="BD137" i="13"/>
  <c r="AC242" i="13"/>
  <c r="Z242" i="13"/>
  <c r="AD242" i="13"/>
  <c r="AA225" i="13"/>
  <c r="AZ137" i="13"/>
  <c r="BA137" i="13"/>
  <c r="BE137" i="13"/>
  <c r="BC137" i="13"/>
  <c r="AB264" i="13"/>
  <c r="AE242" i="13"/>
  <c r="Z225" i="13"/>
  <c r="AC187" i="13"/>
  <c r="AD225" i="13"/>
  <c r="AE137" i="13"/>
  <c r="AC225" i="13"/>
  <c r="AB225" i="13"/>
  <c r="AA187" i="13"/>
  <c r="AC264" i="13"/>
  <c r="Z264" i="13"/>
  <c r="Z137" i="13"/>
  <c r="AA264" i="13"/>
  <c r="AE187" i="13"/>
  <c r="AB187" i="13"/>
  <c r="AD187" i="13"/>
  <c r="Z187" i="13"/>
  <c r="AB137" i="13"/>
  <c r="AD137" i="13"/>
  <c r="G137" i="13"/>
  <c r="L137" i="13"/>
  <c r="M137" i="13"/>
  <c r="J137" i="13"/>
  <c r="D137" i="13"/>
  <c r="F137" i="13"/>
  <c r="I137" i="13"/>
  <c r="BQ244" i="13"/>
  <c r="BR244" i="13" s="1"/>
  <c r="BQ245" i="13"/>
  <c r="BR245" i="13" s="1"/>
  <c r="BQ246" i="13"/>
  <c r="BR246" i="13" s="1"/>
  <c r="BQ247" i="13"/>
  <c r="BR247" i="13" s="1"/>
  <c r="BQ248" i="13"/>
  <c r="BR248" i="13" s="1"/>
  <c r="BQ249" i="13"/>
  <c r="BR249" i="13" s="1"/>
  <c r="BQ243" i="13"/>
  <c r="BR243" i="13" s="1"/>
  <c r="BP244" i="13"/>
  <c r="BP245" i="13"/>
  <c r="BP246" i="13"/>
  <c r="BP247" i="13"/>
  <c r="BP248" i="13"/>
  <c r="BP249" i="13"/>
  <c r="BP243" i="13"/>
  <c r="BL90" i="13" l="1"/>
  <c r="I13" i="12"/>
  <c r="Y13" i="12" s="1"/>
  <c r="C16" i="12"/>
  <c r="F16" i="12"/>
  <c r="G16" i="12"/>
  <c r="H12" i="12"/>
  <c r="X12" i="12" s="1"/>
  <c r="M16" i="12"/>
  <c r="L16" i="12"/>
  <c r="I6" i="12"/>
  <c r="Y6" i="12" s="1"/>
  <c r="I7" i="12"/>
  <c r="Y7" i="12" s="1"/>
  <c r="I8" i="12"/>
  <c r="Y8" i="12" s="1"/>
  <c r="I9" i="12"/>
  <c r="Y9" i="12" s="1"/>
  <c r="I10" i="12"/>
  <c r="Y10" i="12" s="1"/>
  <c r="I11" i="12"/>
  <c r="Y11" i="12" s="1"/>
  <c r="I12" i="12"/>
  <c r="Y12" i="12" s="1"/>
  <c r="I14" i="12"/>
  <c r="Y14" i="12" s="1"/>
  <c r="I15" i="12"/>
  <c r="Y15" i="12" s="1"/>
  <c r="I5" i="12"/>
  <c r="Y5" i="12" s="1"/>
  <c r="I4" i="12"/>
  <c r="Y4" i="12" s="1"/>
  <c r="H5" i="12"/>
  <c r="X5" i="12" s="1"/>
  <c r="H6" i="12"/>
  <c r="X6" i="12" s="1"/>
  <c r="H7" i="12"/>
  <c r="X7" i="12" s="1"/>
  <c r="H8" i="12"/>
  <c r="X8" i="12" s="1"/>
  <c r="H9" i="12"/>
  <c r="X9" i="12" s="1"/>
  <c r="H10" i="12"/>
  <c r="X10" i="12" s="1"/>
  <c r="H11" i="12"/>
  <c r="X11" i="12" s="1"/>
  <c r="H13" i="12"/>
  <c r="X13" i="12" s="1"/>
  <c r="H14" i="12"/>
  <c r="X14" i="12" s="1"/>
  <c r="H15" i="12"/>
  <c r="X15" i="12" s="1"/>
  <c r="H4" i="12"/>
  <c r="X4" i="12" s="1"/>
  <c r="Y16" i="12" l="1"/>
  <c r="X16" i="12"/>
  <c r="H16" i="12"/>
  <c r="I16" i="12"/>
  <c r="K16" i="12"/>
  <c r="J16" i="12"/>
  <c r="D271" i="13"/>
  <c r="D273" i="13" s="1"/>
  <c r="F271" i="13"/>
  <c r="F273" i="13" s="1"/>
  <c r="G271" i="13"/>
  <c r="G273" i="13" s="1"/>
  <c r="I271" i="13"/>
  <c r="I273" i="13" s="1"/>
  <c r="J271" i="13"/>
  <c r="J273" i="13" s="1"/>
  <c r="L271" i="13"/>
  <c r="L273" i="13" s="1"/>
  <c r="M271" i="13"/>
  <c r="M273" i="13" s="1"/>
  <c r="D262" i="13"/>
  <c r="F262" i="13"/>
  <c r="G262" i="13"/>
  <c r="I262" i="13"/>
  <c r="J262" i="13"/>
  <c r="L262" i="13"/>
  <c r="M262" i="13"/>
  <c r="L258" i="13"/>
  <c r="M258" i="13"/>
  <c r="D258" i="13"/>
  <c r="F258" i="13"/>
  <c r="G258" i="13"/>
  <c r="I258" i="13"/>
  <c r="J258" i="13"/>
  <c r="D255" i="13"/>
  <c r="F255" i="13"/>
  <c r="G255" i="13"/>
  <c r="I255" i="13"/>
  <c r="J255" i="13"/>
  <c r="L255" i="13"/>
  <c r="M255" i="13"/>
  <c r="D250" i="13"/>
  <c r="F250" i="13"/>
  <c r="G250" i="13"/>
  <c r="I250" i="13"/>
  <c r="J250" i="13"/>
  <c r="L250" i="13"/>
  <c r="M250" i="13"/>
  <c r="J240" i="13"/>
  <c r="L240" i="13"/>
  <c r="M240" i="13"/>
  <c r="D240" i="13"/>
  <c r="F240" i="13"/>
  <c r="G240" i="13"/>
  <c r="I240" i="13"/>
  <c r="L237" i="13"/>
  <c r="M237" i="13"/>
  <c r="D237" i="13"/>
  <c r="F237" i="13"/>
  <c r="G237" i="13"/>
  <c r="I237" i="13"/>
  <c r="J237" i="13"/>
  <c r="D230" i="13"/>
  <c r="F230" i="13"/>
  <c r="G230" i="13"/>
  <c r="I230" i="13"/>
  <c r="J230" i="13"/>
  <c r="L230" i="13"/>
  <c r="M230" i="13"/>
  <c r="M223" i="13"/>
  <c r="D223" i="13"/>
  <c r="F223" i="13"/>
  <c r="G223" i="13"/>
  <c r="I223" i="13"/>
  <c r="J223" i="13"/>
  <c r="L223" i="13"/>
  <c r="I219" i="13"/>
  <c r="J219" i="13"/>
  <c r="L219" i="13"/>
  <c r="M219" i="13"/>
  <c r="D219" i="13"/>
  <c r="F219" i="13"/>
  <c r="G219" i="13"/>
  <c r="D215" i="13"/>
  <c r="F215" i="13"/>
  <c r="G215" i="13"/>
  <c r="I215" i="13"/>
  <c r="J215" i="13"/>
  <c r="L215" i="13"/>
  <c r="M215" i="13"/>
  <c r="D211" i="13"/>
  <c r="F211" i="13"/>
  <c r="G211" i="13"/>
  <c r="I211" i="13"/>
  <c r="J211" i="13"/>
  <c r="L211" i="13"/>
  <c r="M211" i="13"/>
  <c r="D207" i="13"/>
  <c r="F207" i="13"/>
  <c r="G207" i="13"/>
  <c r="I207" i="13"/>
  <c r="J207" i="13"/>
  <c r="L207" i="13"/>
  <c r="M207" i="13"/>
  <c r="D197" i="13"/>
  <c r="F197" i="13"/>
  <c r="G197" i="13"/>
  <c r="I197" i="13"/>
  <c r="J197" i="13"/>
  <c r="L197" i="13"/>
  <c r="M197" i="13"/>
  <c r="L193" i="13"/>
  <c r="M193" i="13"/>
  <c r="D193" i="13"/>
  <c r="F193" i="13"/>
  <c r="G193" i="13"/>
  <c r="I193" i="13"/>
  <c r="J193" i="13"/>
  <c r="D189" i="13"/>
  <c r="F189" i="13"/>
  <c r="G189" i="13"/>
  <c r="I189" i="13"/>
  <c r="J189" i="13"/>
  <c r="L189" i="13"/>
  <c r="M189" i="13"/>
  <c r="I158" i="13"/>
  <c r="J158" i="13"/>
  <c r="L158" i="13"/>
  <c r="M158" i="13"/>
  <c r="D158" i="13"/>
  <c r="F158" i="13"/>
  <c r="G158" i="13"/>
  <c r="C158" i="13"/>
  <c r="L186" i="13"/>
  <c r="M186" i="13"/>
  <c r="D186" i="13"/>
  <c r="F186" i="13"/>
  <c r="G186" i="13"/>
  <c r="I186" i="13"/>
  <c r="J186" i="13"/>
  <c r="J181" i="13"/>
  <c r="L181" i="13"/>
  <c r="M181" i="13"/>
  <c r="D181" i="13"/>
  <c r="F181" i="13"/>
  <c r="G181" i="13"/>
  <c r="I181" i="13"/>
  <c r="L176" i="13"/>
  <c r="M176" i="13"/>
  <c r="G176" i="13"/>
  <c r="I176" i="13"/>
  <c r="J176" i="13"/>
  <c r="D176" i="13"/>
  <c r="F176" i="13"/>
  <c r="J170" i="13"/>
  <c r="L170" i="13"/>
  <c r="M170" i="13"/>
  <c r="D170" i="13"/>
  <c r="F170" i="13"/>
  <c r="G170" i="13"/>
  <c r="I170" i="13"/>
  <c r="L166" i="13"/>
  <c r="M166" i="13"/>
  <c r="D166" i="13"/>
  <c r="F166" i="13"/>
  <c r="G166" i="13"/>
  <c r="I166" i="13"/>
  <c r="J166" i="13"/>
  <c r="L162" i="13"/>
  <c r="M162" i="13"/>
  <c r="D162" i="13"/>
  <c r="F162" i="13"/>
  <c r="G162" i="13"/>
  <c r="I162" i="13"/>
  <c r="J162" i="13"/>
  <c r="D148" i="13"/>
  <c r="F148" i="13"/>
  <c r="G148" i="13"/>
  <c r="I148" i="13"/>
  <c r="J148" i="13"/>
  <c r="L148" i="13"/>
  <c r="M148" i="13"/>
  <c r="D144" i="13"/>
  <c r="F144" i="13"/>
  <c r="G144" i="13"/>
  <c r="I144" i="13"/>
  <c r="J144" i="13"/>
  <c r="L144" i="13"/>
  <c r="M144" i="13"/>
  <c r="D141" i="13"/>
  <c r="F141" i="13"/>
  <c r="G141" i="13"/>
  <c r="I141" i="13"/>
  <c r="J141" i="13"/>
  <c r="L141" i="13"/>
  <c r="M141" i="13"/>
  <c r="L242" i="13" l="1"/>
  <c r="F264" i="13"/>
  <c r="L264" i="13"/>
  <c r="F242" i="13"/>
  <c r="J242" i="13"/>
  <c r="J264" i="13"/>
  <c r="D264" i="13"/>
  <c r="G225" i="13"/>
  <c r="G187" i="13"/>
  <c r="M225" i="13"/>
  <c r="I187" i="13"/>
  <c r="J225" i="13"/>
  <c r="D225" i="13"/>
  <c r="I242" i="13"/>
  <c r="M242" i="13"/>
  <c r="M264" i="13"/>
  <c r="G264" i="13"/>
  <c r="F187" i="13"/>
  <c r="L187" i="13"/>
  <c r="I225" i="13"/>
  <c r="G242" i="13"/>
  <c r="J187" i="13"/>
  <c r="L225" i="13"/>
  <c r="F225" i="13"/>
  <c r="D242" i="13"/>
  <c r="I264" i="13"/>
  <c r="D187" i="13"/>
  <c r="M187" i="13"/>
  <c r="AE226" i="13" l="1"/>
  <c r="AE243" i="13"/>
  <c r="AE244" i="13"/>
  <c r="AE245" i="13"/>
  <c r="AE246" i="13"/>
  <c r="AE247" i="13"/>
  <c r="AE248" i="13"/>
  <c r="AE249" i="13"/>
  <c r="AE251" i="13"/>
  <c r="AE252" i="13"/>
  <c r="AE253" i="13"/>
  <c r="AE254" i="13"/>
  <c r="AE256" i="13"/>
  <c r="AE257" i="13"/>
  <c r="AE259" i="13"/>
  <c r="AE260" i="13"/>
  <c r="AE261" i="13"/>
  <c r="AE263" i="13"/>
  <c r="AE265" i="13"/>
  <c r="AE266" i="13"/>
  <c r="AE268" i="13"/>
  <c r="AE269" i="13"/>
  <c r="AE270" i="13"/>
  <c r="AE274" i="13"/>
  <c r="AE306" i="13"/>
  <c r="AC265" i="13"/>
  <c r="AC266" i="13"/>
  <c r="AC274" i="13"/>
  <c r="AC306" i="13"/>
  <c r="AC275" i="13" l="1"/>
  <c r="AC307" i="13"/>
  <c r="AE307" i="13"/>
  <c r="AE227" i="13"/>
  <c r="AE275" i="13"/>
  <c r="AC267" i="13"/>
  <c r="AE267" i="13"/>
  <c r="AE271" i="13"/>
  <c r="AE273" i="13" s="1"/>
  <c r="AE258" i="13"/>
  <c r="AE255" i="13"/>
  <c r="AE250" i="13"/>
  <c r="AE262" i="13"/>
  <c r="G91" i="13"/>
  <c r="L91" i="13"/>
  <c r="D91" i="13"/>
  <c r="M91" i="13"/>
  <c r="I91" i="13"/>
  <c r="J91" i="13"/>
  <c r="F91" i="13"/>
  <c r="C271" i="13"/>
  <c r="C273" i="13" s="1"/>
  <c r="C262" i="13"/>
  <c r="C258" i="13"/>
  <c r="C255" i="13"/>
  <c r="C250" i="13"/>
  <c r="C240" i="13"/>
  <c r="C237" i="13"/>
  <c r="C230" i="13"/>
  <c r="AD226" i="13"/>
  <c r="AD243" i="13"/>
  <c r="AD244" i="13"/>
  <c r="AD245" i="13"/>
  <c r="AD246" i="13"/>
  <c r="AD247" i="13"/>
  <c r="AD248" i="13"/>
  <c r="AD249" i="13"/>
  <c r="AD251" i="13"/>
  <c r="AD252" i="13"/>
  <c r="AD253" i="13"/>
  <c r="AD254" i="13"/>
  <c r="AD256" i="13"/>
  <c r="AD257" i="13"/>
  <c r="AD259" i="13"/>
  <c r="AD260" i="13"/>
  <c r="AD261" i="13"/>
  <c r="AD263" i="13"/>
  <c r="AD265" i="13"/>
  <c r="AD266" i="13"/>
  <c r="AD268" i="13"/>
  <c r="AD269" i="13"/>
  <c r="AD270" i="13"/>
  <c r="AD274" i="13"/>
  <c r="AD306" i="13"/>
  <c r="AB265" i="13"/>
  <c r="AB266" i="13"/>
  <c r="AB274" i="13"/>
  <c r="AB306" i="13"/>
  <c r="C223" i="13"/>
  <c r="C219" i="13"/>
  <c r="C215" i="13"/>
  <c r="C211" i="13"/>
  <c r="C207" i="13"/>
  <c r="C197" i="13"/>
  <c r="C193" i="13"/>
  <c r="C189" i="13"/>
  <c r="C186" i="13"/>
  <c r="C181" i="13"/>
  <c r="C176" i="13"/>
  <c r="C170" i="13"/>
  <c r="C166" i="13"/>
  <c r="C162" i="13"/>
  <c r="C148" i="13"/>
  <c r="C144" i="13"/>
  <c r="C141" i="13"/>
  <c r="C137" i="13"/>
  <c r="AA309" i="13"/>
  <c r="Z309" i="13"/>
  <c r="AB275" i="13" l="1"/>
  <c r="AD275" i="13"/>
  <c r="AD267" i="13"/>
  <c r="AD307" i="13"/>
  <c r="BD306" i="13"/>
  <c r="BD307" i="13" s="1"/>
  <c r="AD258" i="13"/>
  <c r="AD227" i="13"/>
  <c r="AB307" i="13"/>
  <c r="AB267" i="13"/>
  <c r="AD262" i="13"/>
  <c r="AE264" i="13"/>
  <c r="AD271" i="13"/>
  <c r="AD273" i="13" s="1"/>
  <c r="AD250" i="13"/>
  <c r="AD255" i="13"/>
  <c r="C242" i="13"/>
  <c r="C187" i="13"/>
  <c r="C264" i="13"/>
  <c r="C225" i="13"/>
  <c r="C91" i="13"/>
  <c r="R303" i="13"/>
  <c r="R295" i="13"/>
  <c r="R294" i="13"/>
  <c r="R293" i="13"/>
  <c r="R292" i="13"/>
  <c r="R296" i="13"/>
  <c r="R297" i="13"/>
  <c r="R298" i="13"/>
  <c r="R299" i="13"/>
  <c r="R300" i="13"/>
  <c r="R301" i="13"/>
  <c r="R302" i="13"/>
  <c r="E6" i="12"/>
  <c r="W6" i="12" s="1"/>
  <c r="E4" i="12"/>
  <c r="W4" i="12" s="1"/>
  <c r="E5" i="12"/>
  <c r="W5" i="12" s="1"/>
  <c r="E7" i="12"/>
  <c r="W7" i="12" s="1"/>
  <c r="E8" i="12"/>
  <c r="W8" i="12" s="1"/>
  <c r="E9" i="12"/>
  <c r="W9" i="12" s="1"/>
  <c r="E10" i="12"/>
  <c r="W10" i="12" s="1"/>
  <c r="E11" i="12"/>
  <c r="W11" i="12" s="1"/>
  <c r="E12" i="12"/>
  <c r="W12" i="12" s="1"/>
  <c r="E13" i="12"/>
  <c r="W13" i="12" s="1"/>
  <c r="E14" i="12"/>
  <c r="W14" i="12" s="1"/>
  <c r="E15" i="12"/>
  <c r="W15" i="12" s="1"/>
  <c r="D4" i="12"/>
  <c r="V4" i="12" s="1"/>
  <c r="W16" i="12" l="1"/>
  <c r="AZ299" i="13"/>
  <c r="AZ292" i="13"/>
  <c r="AZ303" i="13"/>
  <c r="AZ302" i="13"/>
  <c r="AZ293" i="13"/>
  <c r="AZ296" i="13"/>
  <c r="AZ295" i="13"/>
  <c r="AZ300" i="13"/>
  <c r="AZ301" i="13"/>
  <c r="AZ297" i="13"/>
  <c r="AZ294" i="13"/>
  <c r="AZ298" i="13"/>
  <c r="AD264" i="13"/>
  <c r="E16" i="12"/>
  <c r="D11" i="12"/>
  <c r="V11" i="12" s="1"/>
  <c r="D14" i="12"/>
  <c r="V14" i="12" s="1"/>
  <c r="D13" i="12"/>
  <c r="V13" i="12" s="1"/>
  <c r="D12" i="12"/>
  <c r="V12" i="12" s="1"/>
  <c r="D5" i="12"/>
  <c r="V5" i="12" s="1"/>
  <c r="D6" i="12"/>
  <c r="V6" i="12" s="1"/>
  <c r="D7" i="12"/>
  <c r="V7" i="12" s="1"/>
  <c r="D8" i="12"/>
  <c r="V8" i="12" s="1"/>
  <c r="D9" i="12"/>
  <c r="V9" i="12" s="1"/>
  <c r="D10" i="12"/>
  <c r="V10" i="12" s="1"/>
  <c r="D15" i="12"/>
  <c r="V15" i="12" s="1"/>
  <c r="B16" i="12"/>
  <c r="V16" i="12" l="1"/>
  <c r="D16" i="12"/>
  <c r="S274" i="13"/>
  <c r="BA274" i="13" s="1"/>
  <c r="BA275" i="13" s="1"/>
  <c r="S275" i="13" l="1"/>
  <c r="Y216" i="13"/>
  <c r="Y222" i="13"/>
  <c r="X222" i="13"/>
  <c r="BF222" i="13" s="1"/>
  <c r="X191" i="13"/>
  <c r="BF191" i="13" s="1"/>
  <c r="V224" i="13"/>
  <c r="BD224" i="13" s="1"/>
  <c r="V198" i="13"/>
  <c r="S206" i="13"/>
  <c r="R206" i="13"/>
  <c r="R196" i="13"/>
  <c r="BG222" i="13" l="1"/>
  <c r="BA206" i="13"/>
  <c r="AZ206" i="13"/>
  <c r="BD198" i="13"/>
  <c r="AZ196" i="13"/>
  <c r="BG216" i="13"/>
  <c r="O268" i="13"/>
  <c r="S306" i="13" l="1"/>
  <c r="BA306" i="13" s="1"/>
  <c r="BA307" i="13" s="1"/>
  <c r="Y226" i="13"/>
  <c r="BG226" i="13" s="1"/>
  <c r="BG227" i="13" s="1"/>
  <c r="U226" i="13"/>
  <c r="BC226" i="13" s="1"/>
  <c r="BC227" i="13" s="1"/>
  <c r="S226" i="13"/>
  <c r="BA226" i="13" s="1"/>
  <c r="BA227" i="13" s="1"/>
  <c r="S307" i="13" l="1"/>
  <c r="U227" i="13"/>
  <c r="Y227" i="13"/>
  <c r="S227" i="13"/>
  <c r="Y306" i="13"/>
  <c r="BG306" i="13" s="1"/>
  <c r="BG307" i="13" s="1"/>
  <c r="Y304" i="13"/>
  <c r="Y291" i="13"/>
  <c r="Y290" i="13"/>
  <c r="Y289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BG276" i="13" s="1"/>
  <c r="Y274" i="13"/>
  <c r="Y272" i="13"/>
  <c r="Y270" i="13"/>
  <c r="Y269" i="13"/>
  <c r="BG269" i="13" s="1"/>
  <c r="Y268" i="13"/>
  <c r="BG268" i="13" s="1"/>
  <c r="Y266" i="13"/>
  <c r="Y265" i="13"/>
  <c r="BG265" i="13" s="1"/>
  <c r="Y263" i="13"/>
  <c r="BG263" i="13" s="1"/>
  <c r="Y261" i="13"/>
  <c r="Y260" i="13"/>
  <c r="Y259" i="13"/>
  <c r="Y257" i="13"/>
  <c r="Y256" i="13"/>
  <c r="BG256" i="13" s="1"/>
  <c r="Y254" i="13"/>
  <c r="Y253" i="13"/>
  <c r="Y252" i="13"/>
  <c r="Y251" i="13"/>
  <c r="BG251" i="13" s="1"/>
  <c r="Y249" i="13"/>
  <c r="Y248" i="13"/>
  <c r="Y247" i="13"/>
  <c r="Y246" i="13"/>
  <c r="Y245" i="13"/>
  <c r="Y244" i="13"/>
  <c r="Y243" i="13"/>
  <c r="BG243" i="13" s="1"/>
  <c r="Y241" i="13"/>
  <c r="BG241" i="13" s="1"/>
  <c r="Y239" i="13"/>
  <c r="Y238" i="13"/>
  <c r="Y236" i="13"/>
  <c r="Y235" i="13"/>
  <c r="BG235" i="13" s="1"/>
  <c r="Y234" i="13"/>
  <c r="Y233" i="13"/>
  <c r="Y232" i="13"/>
  <c r="Y231" i="13"/>
  <c r="Y229" i="13"/>
  <c r="Y228" i="13"/>
  <c r="Y224" i="13"/>
  <c r="BG224" i="13" s="1"/>
  <c r="Y221" i="13"/>
  <c r="Y220" i="13"/>
  <c r="Y218" i="13"/>
  <c r="Y217" i="13"/>
  <c r="BG217" i="13" s="1"/>
  <c r="Y214" i="13"/>
  <c r="Y213" i="13"/>
  <c r="Y212" i="13"/>
  <c r="BG212" i="13" s="1"/>
  <c r="Y210" i="13"/>
  <c r="Y209" i="13"/>
  <c r="Y208" i="13"/>
  <c r="Y206" i="13"/>
  <c r="Y205" i="13"/>
  <c r="Y204" i="13"/>
  <c r="Y203" i="13"/>
  <c r="Y202" i="13"/>
  <c r="Y201" i="13"/>
  <c r="BG201" i="13" s="1"/>
  <c r="Y200" i="13"/>
  <c r="Y199" i="13"/>
  <c r="Y198" i="13"/>
  <c r="Y196" i="13"/>
  <c r="Y195" i="13"/>
  <c r="Y194" i="13"/>
  <c r="Y192" i="13"/>
  <c r="Y191" i="13"/>
  <c r="Y190" i="13"/>
  <c r="BG190" i="13" s="1"/>
  <c r="Y188" i="13"/>
  <c r="Y185" i="13"/>
  <c r="Y184" i="13"/>
  <c r="Y183" i="13"/>
  <c r="BG183" i="13" s="1"/>
  <c r="Y182" i="13"/>
  <c r="Y180" i="13"/>
  <c r="Y179" i="13"/>
  <c r="BG179" i="13" s="1"/>
  <c r="Y178" i="13"/>
  <c r="Y177" i="13"/>
  <c r="Y175" i="13"/>
  <c r="Y174" i="13"/>
  <c r="Y173" i="13"/>
  <c r="BG173" i="13" s="1"/>
  <c r="Y172" i="13"/>
  <c r="Y171" i="13"/>
  <c r="Y169" i="13"/>
  <c r="Y168" i="13"/>
  <c r="Y167" i="13"/>
  <c r="Y165" i="13"/>
  <c r="Y164" i="13"/>
  <c r="BG164" i="13" s="1"/>
  <c r="Y163" i="13"/>
  <c r="Y161" i="13"/>
  <c r="Y160" i="13"/>
  <c r="BG160" i="13" s="1"/>
  <c r="Y159" i="13"/>
  <c r="Y157" i="13"/>
  <c r="Y156" i="13"/>
  <c r="Y155" i="13"/>
  <c r="Y154" i="13"/>
  <c r="Y153" i="13"/>
  <c r="Y152" i="13"/>
  <c r="Y151" i="13"/>
  <c r="Y150" i="13"/>
  <c r="Y149" i="13"/>
  <c r="BG149" i="13" s="1"/>
  <c r="Y147" i="13"/>
  <c r="Y146" i="13"/>
  <c r="Y145" i="13"/>
  <c r="BG145" i="13" s="1"/>
  <c r="Y143" i="13"/>
  <c r="Y142" i="13"/>
  <c r="BG142" i="13" s="1"/>
  <c r="Y140" i="13"/>
  <c r="Y139" i="13"/>
  <c r="BG139" i="13" s="1"/>
  <c r="Y138" i="13"/>
  <c r="W306" i="13"/>
  <c r="BE306" i="13" s="1"/>
  <c r="BE307" i="13" s="1"/>
  <c r="W304" i="13"/>
  <c r="W291" i="13"/>
  <c r="W290" i="13"/>
  <c r="W289" i="13"/>
  <c r="W288" i="13"/>
  <c r="W287" i="13"/>
  <c r="W286" i="13"/>
  <c r="W285" i="13"/>
  <c r="W284" i="13"/>
  <c r="W283" i="13"/>
  <c r="W282" i="13"/>
  <c r="W281" i="13"/>
  <c r="W280" i="13"/>
  <c r="W279" i="13"/>
  <c r="W278" i="13"/>
  <c r="W277" i="13"/>
  <c r="W276" i="13"/>
  <c r="BE276" i="13" s="1"/>
  <c r="W274" i="13"/>
  <c r="W272" i="13"/>
  <c r="W270" i="13"/>
  <c r="W269" i="13"/>
  <c r="BE269" i="13" s="1"/>
  <c r="W268" i="13"/>
  <c r="BE268" i="13" s="1"/>
  <c r="W266" i="13"/>
  <c r="W265" i="13"/>
  <c r="BE265" i="13" s="1"/>
  <c r="W263" i="13"/>
  <c r="BE263" i="13" s="1"/>
  <c r="W261" i="13"/>
  <c r="W260" i="13"/>
  <c r="W259" i="13"/>
  <c r="BE259" i="13" s="1"/>
  <c r="W257" i="13"/>
  <c r="W256" i="13"/>
  <c r="W254" i="13"/>
  <c r="W253" i="13"/>
  <c r="W252" i="13"/>
  <c r="W251" i="13"/>
  <c r="BE251" i="13" s="1"/>
  <c r="W249" i="13"/>
  <c r="W248" i="13"/>
  <c r="W247" i="13"/>
  <c r="W246" i="13"/>
  <c r="W245" i="13"/>
  <c r="W244" i="13"/>
  <c r="W243" i="13"/>
  <c r="BE243" i="13" s="1"/>
  <c r="W241" i="13"/>
  <c r="BE241" i="13" s="1"/>
  <c r="W239" i="13"/>
  <c r="W238" i="13"/>
  <c r="BE238" i="13" s="1"/>
  <c r="W236" i="13"/>
  <c r="W235" i="13"/>
  <c r="W234" i="13"/>
  <c r="W233" i="13"/>
  <c r="W232" i="13"/>
  <c r="W231" i="13"/>
  <c r="W229" i="13"/>
  <c r="W228" i="13"/>
  <c r="W226" i="13"/>
  <c r="BE226" i="13" s="1"/>
  <c r="BE227" i="13" s="1"/>
  <c r="W224" i="13"/>
  <c r="BE224" i="13" s="1"/>
  <c r="W222" i="13"/>
  <c r="W221" i="13"/>
  <c r="W220" i="13"/>
  <c r="BE220" i="13" s="1"/>
  <c r="W218" i="13"/>
  <c r="W217" i="13"/>
  <c r="BE217" i="13" s="1"/>
  <c r="W216" i="13"/>
  <c r="W214" i="13"/>
  <c r="W213" i="13"/>
  <c r="W212" i="13"/>
  <c r="BE212" i="13" s="1"/>
  <c r="W210" i="13"/>
  <c r="W209" i="13"/>
  <c r="BE209" i="13" s="1"/>
  <c r="W208" i="13"/>
  <c r="W206" i="13"/>
  <c r="W205" i="13"/>
  <c r="W204" i="13"/>
  <c r="W203" i="13"/>
  <c r="W202" i="13"/>
  <c r="W201" i="13"/>
  <c r="BE201" i="13" s="1"/>
  <c r="W200" i="13"/>
  <c r="W199" i="13"/>
  <c r="W198" i="13"/>
  <c r="W196" i="13"/>
  <c r="W195" i="13"/>
  <c r="BE195" i="13" s="1"/>
  <c r="W194" i="13"/>
  <c r="W192" i="13"/>
  <c r="W191" i="13"/>
  <c r="W190" i="13"/>
  <c r="BE190" i="13" s="1"/>
  <c r="W188" i="13"/>
  <c r="W185" i="13"/>
  <c r="W184" i="13"/>
  <c r="W183" i="13"/>
  <c r="BE183" i="13" s="1"/>
  <c r="W182" i="13"/>
  <c r="W180" i="13"/>
  <c r="W179" i="13"/>
  <c r="W178" i="13"/>
  <c r="W177" i="13"/>
  <c r="W175" i="13"/>
  <c r="W174" i="13"/>
  <c r="W173" i="13"/>
  <c r="BE173" i="13" s="1"/>
  <c r="W172" i="13"/>
  <c r="W171" i="13"/>
  <c r="W169" i="13"/>
  <c r="W168" i="13"/>
  <c r="BE168" i="13" s="1"/>
  <c r="W167" i="13"/>
  <c r="W165" i="13"/>
  <c r="W164" i="13"/>
  <c r="W163" i="13"/>
  <c r="W161" i="13"/>
  <c r="W160" i="13"/>
  <c r="BE160" i="13" s="1"/>
  <c r="W159" i="13"/>
  <c r="W157" i="13"/>
  <c r="W156" i="13"/>
  <c r="W155" i="13"/>
  <c r="W154" i="13"/>
  <c r="W153" i="13"/>
  <c r="W152" i="13"/>
  <c r="W151" i="13"/>
  <c r="W150" i="13"/>
  <c r="W149" i="13"/>
  <c r="BE149" i="13" s="1"/>
  <c r="W147" i="13"/>
  <c r="W146" i="13"/>
  <c r="W145" i="13"/>
  <c r="BE145" i="13" s="1"/>
  <c r="W143" i="13"/>
  <c r="W142" i="13"/>
  <c r="W140" i="13"/>
  <c r="W139" i="13"/>
  <c r="W138" i="13"/>
  <c r="U306" i="13"/>
  <c r="U304" i="13"/>
  <c r="U291" i="13"/>
  <c r="U290" i="13"/>
  <c r="U289" i="13"/>
  <c r="U288" i="13"/>
  <c r="U287" i="13"/>
  <c r="U286" i="13"/>
  <c r="U285" i="13"/>
  <c r="U284" i="13"/>
  <c r="U283" i="13"/>
  <c r="U282" i="13"/>
  <c r="U281" i="13"/>
  <c r="U280" i="13"/>
  <c r="U279" i="13"/>
  <c r="U278" i="13"/>
  <c r="U277" i="13"/>
  <c r="U276" i="13"/>
  <c r="BC276" i="13" s="1"/>
  <c r="U274" i="13"/>
  <c r="BC274" i="13" s="1"/>
  <c r="BC275" i="13" s="1"/>
  <c r="U272" i="13"/>
  <c r="U270" i="13"/>
  <c r="U269" i="13"/>
  <c r="BC269" i="13" s="1"/>
  <c r="U268" i="13"/>
  <c r="BC268" i="13" s="1"/>
  <c r="U266" i="13"/>
  <c r="U265" i="13"/>
  <c r="BC265" i="13" s="1"/>
  <c r="U263" i="13"/>
  <c r="BC263" i="13" s="1"/>
  <c r="U261" i="13"/>
  <c r="U260" i="13"/>
  <c r="U259" i="13"/>
  <c r="BC259" i="13" s="1"/>
  <c r="U257" i="13"/>
  <c r="U256" i="13"/>
  <c r="BC256" i="13" s="1"/>
  <c r="U254" i="13"/>
  <c r="U253" i="13"/>
  <c r="U252" i="13"/>
  <c r="U251" i="13"/>
  <c r="BC251" i="13" s="1"/>
  <c r="U249" i="13"/>
  <c r="U248" i="13"/>
  <c r="U247" i="13"/>
  <c r="U246" i="13"/>
  <c r="U245" i="13"/>
  <c r="U244" i="13"/>
  <c r="U243" i="13"/>
  <c r="BC243" i="13" s="1"/>
  <c r="U241" i="13"/>
  <c r="BC241" i="13" s="1"/>
  <c r="U239" i="13"/>
  <c r="U238" i="13"/>
  <c r="BC238" i="13" s="1"/>
  <c r="U236" i="13"/>
  <c r="U235" i="13"/>
  <c r="BC235" i="13" s="1"/>
  <c r="U234" i="13"/>
  <c r="U233" i="13"/>
  <c r="U232" i="13"/>
  <c r="U231" i="13"/>
  <c r="U229" i="13"/>
  <c r="U228" i="13"/>
  <c r="BC228" i="13" s="1"/>
  <c r="U224" i="13"/>
  <c r="BC224" i="13" s="1"/>
  <c r="U222" i="13"/>
  <c r="U221" i="13"/>
  <c r="U220" i="13"/>
  <c r="BC220" i="13" s="1"/>
  <c r="U218" i="13"/>
  <c r="U217" i="13"/>
  <c r="BC217" i="13" s="1"/>
  <c r="U216" i="13"/>
  <c r="U214" i="13"/>
  <c r="U213" i="13"/>
  <c r="U212" i="13"/>
  <c r="BC212" i="13" s="1"/>
  <c r="U210" i="13"/>
  <c r="U209" i="13"/>
  <c r="BC209" i="13" s="1"/>
  <c r="U208" i="13"/>
  <c r="U206" i="13"/>
  <c r="U205" i="13"/>
  <c r="U204" i="13"/>
  <c r="U203" i="13"/>
  <c r="U202" i="13"/>
  <c r="U201" i="13"/>
  <c r="BC201" i="13" s="1"/>
  <c r="U200" i="13"/>
  <c r="U199" i="13"/>
  <c r="U198" i="13"/>
  <c r="U196" i="13"/>
  <c r="U195" i="13"/>
  <c r="BC195" i="13" s="1"/>
  <c r="U194" i="13"/>
  <c r="U192" i="13"/>
  <c r="U191" i="13"/>
  <c r="U190" i="13"/>
  <c r="BC190" i="13" s="1"/>
  <c r="U188" i="13"/>
  <c r="U185" i="13"/>
  <c r="U184" i="13"/>
  <c r="U183" i="13"/>
  <c r="BC183" i="13" s="1"/>
  <c r="U182" i="13"/>
  <c r="U180" i="13"/>
  <c r="U179" i="13"/>
  <c r="BC179" i="13" s="1"/>
  <c r="U178" i="13"/>
  <c r="U177" i="13"/>
  <c r="U175" i="13"/>
  <c r="U174" i="13"/>
  <c r="U173" i="13"/>
  <c r="BC173" i="13" s="1"/>
  <c r="U172" i="13"/>
  <c r="U171" i="13"/>
  <c r="U169" i="13"/>
  <c r="U168" i="13"/>
  <c r="BC168" i="13" s="1"/>
  <c r="U167" i="13"/>
  <c r="U165" i="13"/>
  <c r="U164" i="13"/>
  <c r="BC164" i="13" s="1"/>
  <c r="U163" i="13"/>
  <c r="U161" i="13"/>
  <c r="U160" i="13"/>
  <c r="BC160" i="13" s="1"/>
  <c r="U159" i="13"/>
  <c r="U157" i="13"/>
  <c r="U156" i="13"/>
  <c r="U155" i="13"/>
  <c r="U154" i="13"/>
  <c r="U153" i="13"/>
  <c r="U152" i="13"/>
  <c r="U151" i="13"/>
  <c r="U150" i="13"/>
  <c r="U149" i="13"/>
  <c r="BC149" i="13" s="1"/>
  <c r="U147" i="13"/>
  <c r="U146" i="13"/>
  <c r="U145" i="13"/>
  <c r="BC145" i="13" s="1"/>
  <c r="U143" i="13"/>
  <c r="U142" i="13"/>
  <c r="BC142" i="13" s="1"/>
  <c r="U140" i="13"/>
  <c r="U139" i="13"/>
  <c r="BC139" i="13" s="1"/>
  <c r="U138" i="13"/>
  <c r="S138" i="13"/>
  <c r="S139" i="13"/>
  <c r="BA139" i="13" s="1"/>
  <c r="S140" i="13"/>
  <c r="S142" i="13"/>
  <c r="BA142" i="13" s="1"/>
  <c r="S143" i="13"/>
  <c r="S145" i="13"/>
  <c r="BA145" i="13" s="1"/>
  <c r="S146" i="13"/>
  <c r="S147" i="13"/>
  <c r="S149" i="13"/>
  <c r="BA149" i="13" s="1"/>
  <c r="S150" i="13"/>
  <c r="S151" i="13"/>
  <c r="S152" i="13"/>
  <c r="S153" i="13"/>
  <c r="S154" i="13"/>
  <c r="S155" i="13"/>
  <c r="S156" i="13"/>
  <c r="S157" i="13"/>
  <c r="S159" i="13"/>
  <c r="S160" i="13"/>
  <c r="BA160" i="13" s="1"/>
  <c r="S161" i="13"/>
  <c r="S163" i="13"/>
  <c r="S164" i="13"/>
  <c r="BA164" i="13" s="1"/>
  <c r="S165" i="13"/>
  <c r="S167" i="13"/>
  <c r="S168" i="13"/>
  <c r="BA168" i="13" s="1"/>
  <c r="S169" i="13"/>
  <c r="S171" i="13"/>
  <c r="S172" i="13"/>
  <c r="S173" i="13"/>
  <c r="BA173" i="13" s="1"/>
  <c r="S174" i="13"/>
  <c r="S175" i="13"/>
  <c r="S177" i="13"/>
  <c r="S178" i="13"/>
  <c r="S179" i="13"/>
  <c r="BA179" i="13" s="1"/>
  <c r="S180" i="13"/>
  <c r="S182" i="13"/>
  <c r="S183" i="13"/>
  <c r="BA183" i="13" s="1"/>
  <c r="S184" i="13"/>
  <c r="S185" i="13"/>
  <c r="S188" i="13"/>
  <c r="S190" i="13"/>
  <c r="BA190" i="13" s="1"/>
  <c r="S191" i="13"/>
  <c r="S192" i="13"/>
  <c r="S194" i="13"/>
  <c r="S195" i="13"/>
  <c r="BA195" i="13" s="1"/>
  <c r="S196" i="13"/>
  <c r="S198" i="13"/>
  <c r="S199" i="13"/>
  <c r="S200" i="13"/>
  <c r="S201" i="13"/>
  <c r="BA201" i="13" s="1"/>
  <c r="S202" i="13"/>
  <c r="S203" i="13"/>
  <c r="S204" i="13"/>
  <c r="S205" i="13"/>
  <c r="S208" i="13"/>
  <c r="S209" i="13"/>
  <c r="BA209" i="13" s="1"/>
  <c r="S210" i="13"/>
  <c r="S212" i="13"/>
  <c r="BA212" i="13" s="1"/>
  <c r="S213" i="13"/>
  <c r="S214" i="13"/>
  <c r="S216" i="13"/>
  <c r="S217" i="13"/>
  <c r="BA217" i="13" s="1"/>
  <c r="S218" i="13"/>
  <c r="S220" i="13"/>
  <c r="BA220" i="13" s="1"/>
  <c r="S221" i="13"/>
  <c r="S222" i="13"/>
  <c r="S224" i="13"/>
  <c r="BA224" i="13" s="1"/>
  <c r="S228" i="13"/>
  <c r="BA228" i="13" s="1"/>
  <c r="S229" i="13"/>
  <c r="S231" i="13"/>
  <c r="S232" i="13"/>
  <c r="S233" i="13"/>
  <c r="S234" i="13"/>
  <c r="S235" i="13"/>
  <c r="BA235" i="13" s="1"/>
  <c r="S236" i="13"/>
  <c r="S238" i="13"/>
  <c r="BA238" i="13" s="1"/>
  <c r="S239" i="13"/>
  <c r="S241" i="13"/>
  <c r="BA241" i="13" s="1"/>
  <c r="S243" i="13"/>
  <c r="BA243" i="13" s="1"/>
  <c r="S244" i="13"/>
  <c r="S245" i="13"/>
  <c r="S246" i="13"/>
  <c r="S247" i="13"/>
  <c r="S248" i="13"/>
  <c r="S249" i="13"/>
  <c r="S251" i="13"/>
  <c r="BA251" i="13" s="1"/>
  <c r="S252" i="13"/>
  <c r="S253" i="13"/>
  <c r="S254" i="13"/>
  <c r="S256" i="13"/>
  <c r="BA256" i="13" s="1"/>
  <c r="S257" i="13"/>
  <c r="S259" i="13"/>
  <c r="BA259" i="13" s="1"/>
  <c r="S260" i="13"/>
  <c r="S261" i="13"/>
  <c r="S263" i="13"/>
  <c r="BA263" i="13" s="1"/>
  <c r="S265" i="13"/>
  <c r="BA265" i="13" s="1"/>
  <c r="S266" i="13"/>
  <c r="S268" i="13"/>
  <c r="BA268" i="13" s="1"/>
  <c r="S269" i="13"/>
  <c r="BA269" i="13" s="1"/>
  <c r="S270" i="13"/>
  <c r="S272" i="13"/>
  <c r="S276" i="13"/>
  <c r="BA276" i="13" s="1"/>
  <c r="S277" i="13"/>
  <c r="S278" i="13"/>
  <c r="S279" i="13"/>
  <c r="S280" i="13"/>
  <c r="S281" i="13"/>
  <c r="S282" i="13"/>
  <c r="S283" i="13"/>
  <c r="S284" i="13"/>
  <c r="S285" i="13"/>
  <c r="S286" i="13"/>
  <c r="S287" i="13"/>
  <c r="S290" i="13"/>
  <c r="S291" i="13"/>
  <c r="X304" i="13"/>
  <c r="BF304" i="13" s="1"/>
  <c r="X291" i="13"/>
  <c r="BF291" i="13" s="1"/>
  <c r="X290" i="13"/>
  <c r="BF290" i="13" s="1"/>
  <c r="X289" i="13"/>
  <c r="BF289" i="13" s="1"/>
  <c r="X288" i="13"/>
  <c r="BF288" i="13" s="1"/>
  <c r="X287" i="13"/>
  <c r="BF287" i="13" s="1"/>
  <c r="X286" i="13"/>
  <c r="BF286" i="13" s="1"/>
  <c r="X285" i="13"/>
  <c r="BF285" i="13" s="1"/>
  <c r="X284" i="13"/>
  <c r="BF284" i="13" s="1"/>
  <c r="X283" i="13"/>
  <c r="BF283" i="13" s="1"/>
  <c r="X282" i="13"/>
  <c r="BF282" i="13" s="1"/>
  <c r="X281" i="13"/>
  <c r="BF281" i="13" s="1"/>
  <c r="X280" i="13"/>
  <c r="BF280" i="13" s="1"/>
  <c r="X279" i="13"/>
  <c r="BF279" i="13" s="1"/>
  <c r="X278" i="13"/>
  <c r="BF278" i="13" s="1"/>
  <c r="X277" i="13"/>
  <c r="BF277" i="13" s="1"/>
  <c r="X276" i="13"/>
  <c r="BF276" i="13" s="1"/>
  <c r="X274" i="13"/>
  <c r="X272" i="13"/>
  <c r="BF272" i="13" s="1"/>
  <c r="X270" i="13"/>
  <c r="BF270" i="13" s="1"/>
  <c r="X269" i="13"/>
  <c r="BF269" i="13" s="1"/>
  <c r="X268" i="13"/>
  <c r="BF268" i="13" s="1"/>
  <c r="X266" i="13"/>
  <c r="BF266" i="13" s="1"/>
  <c r="X265" i="13"/>
  <c r="BF265" i="13" s="1"/>
  <c r="X263" i="13"/>
  <c r="BF263" i="13" s="1"/>
  <c r="X261" i="13"/>
  <c r="AN261" i="13" s="1"/>
  <c r="BF261" i="13" s="1"/>
  <c r="X260" i="13"/>
  <c r="X257" i="13"/>
  <c r="BF257" i="13" s="1"/>
  <c r="X256" i="13"/>
  <c r="BF256" i="13" s="1"/>
  <c r="X254" i="13"/>
  <c r="BF254" i="13" s="1"/>
  <c r="X253" i="13"/>
  <c r="BF253" i="13" s="1"/>
  <c r="X252" i="13"/>
  <c r="BF252" i="13" s="1"/>
  <c r="X251" i="13"/>
  <c r="BF251" i="13" s="1"/>
  <c r="X241" i="13"/>
  <c r="BF241" i="13" s="1"/>
  <c r="X239" i="13"/>
  <c r="BF239" i="13" s="1"/>
  <c r="X238" i="13"/>
  <c r="BF238" i="13" s="1"/>
  <c r="X236" i="13"/>
  <c r="BF236" i="13" s="1"/>
  <c r="X235" i="13"/>
  <c r="X234" i="13"/>
  <c r="BF234" i="13" s="1"/>
  <c r="X233" i="13"/>
  <c r="BF233" i="13" s="1"/>
  <c r="X232" i="13"/>
  <c r="BF232" i="13" s="1"/>
  <c r="X231" i="13"/>
  <c r="BF231" i="13" s="1"/>
  <c r="X229" i="13"/>
  <c r="BF229" i="13" s="1"/>
  <c r="X228" i="13"/>
  <c r="BF228" i="13" s="1"/>
  <c r="X226" i="13"/>
  <c r="X224" i="13"/>
  <c r="BF224" i="13" s="1"/>
  <c r="X221" i="13"/>
  <c r="BF221" i="13" s="1"/>
  <c r="X220" i="13"/>
  <c r="BF220" i="13" s="1"/>
  <c r="X218" i="13"/>
  <c r="BF218" i="13" s="1"/>
  <c r="X217" i="13"/>
  <c r="X216" i="13"/>
  <c r="BF216" i="13" s="1"/>
  <c r="X214" i="13"/>
  <c r="BF214" i="13" s="1"/>
  <c r="X213" i="13"/>
  <c r="BF213" i="13" s="1"/>
  <c r="X212" i="13"/>
  <c r="X210" i="13"/>
  <c r="BF210" i="13" s="1"/>
  <c r="X209" i="13"/>
  <c r="BF209" i="13" s="1"/>
  <c r="X208" i="13"/>
  <c r="BF208" i="13" s="1"/>
  <c r="X206" i="13"/>
  <c r="BF206" i="13" s="1"/>
  <c r="X205" i="13"/>
  <c r="BF205" i="13" s="1"/>
  <c r="X204" i="13"/>
  <c r="BF204" i="13" s="1"/>
  <c r="X203" i="13"/>
  <c r="BF203" i="13" s="1"/>
  <c r="X202" i="13"/>
  <c r="BF202" i="13" s="1"/>
  <c r="X201" i="13"/>
  <c r="BF201" i="13" s="1"/>
  <c r="X200" i="13"/>
  <c r="BF200" i="13" s="1"/>
  <c r="X199" i="13"/>
  <c r="BF199" i="13" s="1"/>
  <c r="X198" i="13"/>
  <c r="BF198" i="13" s="1"/>
  <c r="X196" i="13"/>
  <c r="BF196" i="13" s="1"/>
  <c r="X195" i="13"/>
  <c r="BF195" i="13" s="1"/>
  <c r="X194" i="13"/>
  <c r="BF194" i="13" s="1"/>
  <c r="X192" i="13"/>
  <c r="BF192" i="13" s="1"/>
  <c r="X190" i="13"/>
  <c r="BF190" i="13" s="1"/>
  <c r="X188" i="13"/>
  <c r="X185" i="13"/>
  <c r="BF185" i="13" s="1"/>
  <c r="X184" i="13"/>
  <c r="BF184" i="13" s="1"/>
  <c r="X183" i="13"/>
  <c r="BF183" i="13" s="1"/>
  <c r="X182" i="13"/>
  <c r="BF182" i="13" s="1"/>
  <c r="X180" i="13"/>
  <c r="BF180" i="13" s="1"/>
  <c r="X179" i="13"/>
  <c r="X178" i="13"/>
  <c r="BF178" i="13" s="1"/>
  <c r="X177" i="13"/>
  <c r="BF177" i="13" s="1"/>
  <c r="X175" i="13"/>
  <c r="BF175" i="13" s="1"/>
  <c r="X174" i="13"/>
  <c r="BF174" i="13" s="1"/>
  <c r="X173" i="13"/>
  <c r="BF173" i="13" s="1"/>
  <c r="X172" i="13"/>
  <c r="BF172" i="13" s="1"/>
  <c r="X171" i="13"/>
  <c r="BF171" i="13" s="1"/>
  <c r="X169" i="13"/>
  <c r="BF169" i="13" s="1"/>
  <c r="X168" i="13"/>
  <c r="BF168" i="13" s="1"/>
  <c r="X167" i="13"/>
  <c r="BF167" i="13" s="1"/>
  <c r="X165" i="13"/>
  <c r="BF165" i="13" s="1"/>
  <c r="X164" i="13"/>
  <c r="X163" i="13"/>
  <c r="BF163" i="13" s="1"/>
  <c r="X161" i="13"/>
  <c r="BF161" i="13" s="1"/>
  <c r="X160" i="13"/>
  <c r="BF160" i="13" s="1"/>
  <c r="X159" i="13"/>
  <c r="BF159" i="13" s="1"/>
  <c r="X157" i="13"/>
  <c r="BF157" i="13" s="1"/>
  <c r="X156" i="13"/>
  <c r="BF156" i="13" s="1"/>
  <c r="X155" i="13"/>
  <c r="BF155" i="13" s="1"/>
  <c r="X154" i="13"/>
  <c r="BF154" i="13" s="1"/>
  <c r="X153" i="13"/>
  <c r="X152" i="13"/>
  <c r="X151" i="13"/>
  <c r="X150" i="13"/>
  <c r="X149" i="13"/>
  <c r="BF149" i="13" s="1"/>
  <c r="X147" i="13"/>
  <c r="X146" i="13"/>
  <c r="X145" i="13"/>
  <c r="X143" i="13"/>
  <c r="X142" i="13"/>
  <c r="BF142" i="13" s="1"/>
  <c r="X140" i="13"/>
  <c r="X139" i="13"/>
  <c r="X138" i="13"/>
  <c r="V304" i="13"/>
  <c r="V291" i="13"/>
  <c r="V290" i="13"/>
  <c r="V289" i="13"/>
  <c r="V288" i="13"/>
  <c r="V287" i="13"/>
  <c r="V286" i="13"/>
  <c r="V285" i="13"/>
  <c r="V284" i="13"/>
  <c r="V283" i="13"/>
  <c r="V282" i="13"/>
  <c r="V281" i="13"/>
  <c r="V280" i="13"/>
  <c r="V279" i="13"/>
  <c r="V278" i="13"/>
  <c r="V277" i="13"/>
  <c r="V276" i="13"/>
  <c r="BD276" i="13" s="1"/>
  <c r="V274" i="13"/>
  <c r="V272" i="13"/>
  <c r="V270" i="13"/>
  <c r="V269" i="13"/>
  <c r="BD269" i="13" s="1"/>
  <c r="V268" i="13"/>
  <c r="BD268" i="13" s="1"/>
  <c r="V266" i="13"/>
  <c r="V265" i="13"/>
  <c r="BD265" i="13" s="1"/>
  <c r="V263" i="13"/>
  <c r="BD263" i="13" s="1"/>
  <c r="V261" i="13"/>
  <c r="V260" i="13"/>
  <c r="V259" i="13"/>
  <c r="BD259" i="13" s="1"/>
  <c r="V257" i="13"/>
  <c r="V256" i="13"/>
  <c r="V254" i="13"/>
  <c r="V253" i="13"/>
  <c r="V252" i="13"/>
  <c r="V251" i="13"/>
  <c r="BD251" i="13" s="1"/>
  <c r="V249" i="13"/>
  <c r="V248" i="13"/>
  <c r="V247" i="13"/>
  <c r="V246" i="13"/>
  <c r="V245" i="13"/>
  <c r="V244" i="13"/>
  <c r="V243" i="13"/>
  <c r="BD243" i="13" s="1"/>
  <c r="V241" i="13"/>
  <c r="BD241" i="13" s="1"/>
  <c r="V239" i="13"/>
  <c r="V238" i="13"/>
  <c r="V236" i="13"/>
  <c r="V235" i="13"/>
  <c r="V234" i="13"/>
  <c r="V233" i="13"/>
  <c r="V232" i="13"/>
  <c r="V231" i="13"/>
  <c r="V229" i="13"/>
  <c r="V228" i="13"/>
  <c r="V226" i="13"/>
  <c r="V222" i="13"/>
  <c r="V221" i="13"/>
  <c r="V220" i="13"/>
  <c r="BD220" i="13" s="1"/>
  <c r="V218" i="13"/>
  <c r="V217" i="13"/>
  <c r="V216" i="13"/>
  <c r="V214" i="13"/>
  <c r="V213" i="13"/>
  <c r="V212" i="13"/>
  <c r="BD212" i="13" s="1"/>
  <c r="V210" i="13"/>
  <c r="V209" i="13"/>
  <c r="V208" i="13"/>
  <c r="V206" i="13"/>
  <c r="V205" i="13"/>
  <c r="V204" i="13"/>
  <c r="V203" i="13"/>
  <c r="V202" i="13"/>
  <c r="V201" i="13"/>
  <c r="BD201" i="13" s="1"/>
  <c r="V200" i="13"/>
  <c r="V199" i="13"/>
  <c r="V196" i="13"/>
  <c r="V195" i="13"/>
  <c r="BD195" i="13" s="1"/>
  <c r="V194" i="13"/>
  <c r="V192" i="13"/>
  <c r="V191" i="13"/>
  <c r="V190" i="13"/>
  <c r="BD190" i="13" s="1"/>
  <c r="V188" i="13"/>
  <c r="V185" i="13"/>
  <c r="V184" i="13"/>
  <c r="V183" i="13"/>
  <c r="BD183" i="13" s="1"/>
  <c r="V182" i="13"/>
  <c r="V180" i="13"/>
  <c r="V179" i="13"/>
  <c r="V178" i="13"/>
  <c r="V177" i="13"/>
  <c r="V175" i="13"/>
  <c r="V174" i="13"/>
  <c r="V173" i="13"/>
  <c r="BD173" i="13" s="1"/>
  <c r="V172" i="13"/>
  <c r="V171" i="13"/>
  <c r="V169" i="13"/>
  <c r="V168" i="13"/>
  <c r="BD168" i="13" s="1"/>
  <c r="V167" i="13"/>
  <c r="V165" i="13"/>
  <c r="V164" i="13"/>
  <c r="V163" i="13"/>
  <c r="V161" i="13"/>
  <c r="V160" i="13"/>
  <c r="BD160" i="13" s="1"/>
  <c r="V159" i="13"/>
  <c r="V157" i="13"/>
  <c r="V156" i="13"/>
  <c r="V155" i="13"/>
  <c r="V154" i="13"/>
  <c r="V153" i="13"/>
  <c r="V152" i="13"/>
  <c r="V151" i="13"/>
  <c r="V150" i="13"/>
  <c r="V149" i="13"/>
  <c r="BD149" i="13" s="1"/>
  <c r="V147" i="13"/>
  <c r="V146" i="13"/>
  <c r="V145" i="13"/>
  <c r="BD145" i="13" s="1"/>
  <c r="V143" i="13"/>
  <c r="V142" i="13"/>
  <c r="V140" i="13"/>
  <c r="V139" i="13"/>
  <c r="V138" i="13"/>
  <c r="BM135" i="13"/>
  <c r="BM134" i="13"/>
  <c r="BM133" i="13"/>
  <c r="BM132" i="13"/>
  <c r="BM131" i="13"/>
  <c r="BM130" i="13"/>
  <c r="BM129" i="13"/>
  <c r="BM128" i="13"/>
  <c r="BM126" i="13"/>
  <c r="BM125" i="13"/>
  <c r="BM123" i="13"/>
  <c r="BM122" i="13"/>
  <c r="BM121" i="13"/>
  <c r="BM120" i="13"/>
  <c r="BM118" i="13"/>
  <c r="BM117" i="13"/>
  <c r="BM116" i="13"/>
  <c r="BM114" i="13"/>
  <c r="BM111" i="13"/>
  <c r="BM108" i="13"/>
  <c r="BM105" i="13"/>
  <c r="BM102" i="13"/>
  <c r="BM99" i="13"/>
  <c r="BM97" i="13"/>
  <c r="BM96" i="13"/>
  <c r="BM94" i="13"/>
  <c r="BM92" i="13"/>
  <c r="T306" i="13"/>
  <c r="T304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BB276" i="13" s="1"/>
  <c r="T274" i="13"/>
  <c r="BB274" i="13" s="1"/>
  <c r="BB275" i="13" s="1"/>
  <c r="T272" i="13"/>
  <c r="T270" i="13"/>
  <c r="T269" i="13"/>
  <c r="BB269" i="13" s="1"/>
  <c r="T268" i="13"/>
  <c r="BB268" i="13" s="1"/>
  <c r="T266" i="13"/>
  <c r="T265" i="13"/>
  <c r="BB265" i="13" s="1"/>
  <c r="T263" i="13"/>
  <c r="BB263" i="13" s="1"/>
  <c r="T261" i="13"/>
  <c r="T260" i="13"/>
  <c r="T259" i="13"/>
  <c r="BB259" i="13" s="1"/>
  <c r="T257" i="13"/>
  <c r="T256" i="13"/>
  <c r="BB256" i="13" s="1"/>
  <c r="T254" i="13"/>
  <c r="T253" i="13"/>
  <c r="T252" i="13"/>
  <c r="T251" i="13"/>
  <c r="BB251" i="13" s="1"/>
  <c r="T249" i="13"/>
  <c r="T248" i="13"/>
  <c r="T247" i="13"/>
  <c r="T246" i="13"/>
  <c r="T245" i="13"/>
  <c r="T244" i="13"/>
  <c r="T243" i="13"/>
  <c r="BB243" i="13" s="1"/>
  <c r="T241" i="13"/>
  <c r="BB241" i="13" s="1"/>
  <c r="T239" i="13"/>
  <c r="T238" i="13"/>
  <c r="BB238" i="13" s="1"/>
  <c r="T236" i="13"/>
  <c r="T235" i="13"/>
  <c r="BB235" i="13" s="1"/>
  <c r="T234" i="13"/>
  <c r="T233" i="13"/>
  <c r="T232" i="13"/>
  <c r="T231" i="13"/>
  <c r="T229" i="13"/>
  <c r="T228" i="13"/>
  <c r="BB228" i="13" s="1"/>
  <c r="T226" i="13"/>
  <c r="BB226" i="13" s="1"/>
  <c r="BB227" i="13" s="1"/>
  <c r="T224" i="13"/>
  <c r="BB224" i="13" s="1"/>
  <c r="T222" i="13"/>
  <c r="T221" i="13"/>
  <c r="T220" i="13"/>
  <c r="BB220" i="13" s="1"/>
  <c r="T218" i="13"/>
  <c r="T217" i="13"/>
  <c r="T216" i="13"/>
  <c r="T214" i="13"/>
  <c r="T213" i="13"/>
  <c r="T212" i="13"/>
  <c r="BB212" i="13" s="1"/>
  <c r="T210" i="13"/>
  <c r="T209" i="13"/>
  <c r="BB209" i="13" s="1"/>
  <c r="T208" i="13"/>
  <c r="T206" i="13"/>
  <c r="T205" i="13"/>
  <c r="T204" i="13"/>
  <c r="T203" i="13"/>
  <c r="T202" i="13"/>
  <c r="T201" i="13"/>
  <c r="BB201" i="13" s="1"/>
  <c r="T200" i="13"/>
  <c r="T199" i="13"/>
  <c r="T198" i="13"/>
  <c r="T196" i="13"/>
  <c r="T195" i="13"/>
  <c r="BB195" i="13" s="1"/>
  <c r="T194" i="13"/>
  <c r="T192" i="13"/>
  <c r="T191" i="13"/>
  <c r="T190" i="13"/>
  <c r="BB190" i="13" s="1"/>
  <c r="T188" i="13"/>
  <c r="T185" i="13"/>
  <c r="T184" i="13"/>
  <c r="T183" i="13"/>
  <c r="BB183" i="13" s="1"/>
  <c r="T182" i="13"/>
  <c r="T180" i="13"/>
  <c r="T179" i="13"/>
  <c r="BB179" i="13" s="1"/>
  <c r="T178" i="13"/>
  <c r="T177" i="13"/>
  <c r="T175" i="13"/>
  <c r="T174" i="13"/>
  <c r="T173" i="13"/>
  <c r="BB173" i="13" s="1"/>
  <c r="T172" i="13"/>
  <c r="T171" i="13"/>
  <c r="T169" i="13"/>
  <c r="T168" i="13"/>
  <c r="BB168" i="13" s="1"/>
  <c r="T167" i="13"/>
  <c r="T165" i="13"/>
  <c r="T164" i="13"/>
  <c r="BB164" i="13" s="1"/>
  <c r="T163" i="13"/>
  <c r="T161" i="13"/>
  <c r="T160" i="13"/>
  <c r="T159" i="13"/>
  <c r="T157" i="13"/>
  <c r="T156" i="13"/>
  <c r="T155" i="13"/>
  <c r="T154" i="13"/>
  <c r="T153" i="13"/>
  <c r="T152" i="13"/>
  <c r="T151" i="13"/>
  <c r="T150" i="13"/>
  <c r="T149" i="13"/>
  <c r="BB149" i="13" s="1"/>
  <c r="T147" i="13"/>
  <c r="T146" i="13"/>
  <c r="T145" i="13"/>
  <c r="BB145" i="13" s="1"/>
  <c r="T143" i="13"/>
  <c r="T142" i="13"/>
  <c r="BB142" i="13" s="1"/>
  <c r="T140" i="13"/>
  <c r="T139" i="13"/>
  <c r="BB139" i="13" s="1"/>
  <c r="T138" i="13"/>
  <c r="BL135" i="13"/>
  <c r="BL133" i="13"/>
  <c r="BL132" i="13"/>
  <c r="BL131" i="13"/>
  <c r="BL130" i="13"/>
  <c r="BL129" i="13"/>
  <c r="BL128" i="13"/>
  <c r="BL126" i="13"/>
  <c r="BL123" i="13"/>
  <c r="BL122" i="13"/>
  <c r="BL121" i="13"/>
  <c r="BL120" i="13"/>
  <c r="BL118" i="13"/>
  <c r="BL117" i="13"/>
  <c r="BL116" i="13"/>
  <c r="BL114" i="13"/>
  <c r="BL113" i="13"/>
  <c r="BL111" i="13"/>
  <c r="BL110" i="13"/>
  <c r="BL108" i="13"/>
  <c r="BL105" i="13"/>
  <c r="BL102" i="13"/>
  <c r="BL99" i="13"/>
  <c r="BL97" i="13"/>
  <c r="BL96" i="13"/>
  <c r="BL94" i="13"/>
  <c r="BL92" i="13"/>
  <c r="R306" i="13"/>
  <c r="AZ306" i="13" s="1"/>
  <c r="AZ307" i="13" s="1"/>
  <c r="R277" i="13"/>
  <c r="R278" i="13"/>
  <c r="R279" i="13"/>
  <c r="R280" i="13"/>
  <c r="R281" i="13"/>
  <c r="R282" i="13"/>
  <c r="R283" i="13"/>
  <c r="R284" i="13"/>
  <c r="R285" i="13"/>
  <c r="R286" i="13"/>
  <c r="R287" i="13"/>
  <c r="R276" i="13"/>
  <c r="AZ276" i="13" s="1"/>
  <c r="R274" i="13"/>
  <c r="R270" i="13"/>
  <c r="R272" i="13"/>
  <c r="R269" i="13"/>
  <c r="AZ269" i="13" s="1"/>
  <c r="R268" i="13"/>
  <c r="AZ268" i="13" s="1"/>
  <c r="R266" i="13"/>
  <c r="R265" i="13"/>
  <c r="AZ265" i="13" s="1"/>
  <c r="R244" i="13"/>
  <c r="R245" i="13"/>
  <c r="R246" i="13"/>
  <c r="R247" i="13"/>
  <c r="R248" i="13"/>
  <c r="R249" i="13"/>
  <c r="R251" i="13"/>
  <c r="AZ251" i="13" s="1"/>
  <c r="R252" i="13"/>
  <c r="R253" i="13"/>
  <c r="R254" i="13"/>
  <c r="R256" i="13"/>
  <c r="AZ256" i="13" s="1"/>
  <c r="R257" i="13"/>
  <c r="R259" i="13"/>
  <c r="AZ259" i="13" s="1"/>
  <c r="R260" i="13"/>
  <c r="R261" i="13"/>
  <c r="R263" i="13"/>
  <c r="AZ263" i="13" s="1"/>
  <c r="R243" i="13"/>
  <c r="AZ243" i="13" s="1"/>
  <c r="R229" i="13"/>
  <c r="R231" i="13"/>
  <c r="R232" i="13"/>
  <c r="R233" i="13"/>
  <c r="R234" i="13"/>
  <c r="R235" i="13"/>
  <c r="AZ235" i="13" s="1"/>
  <c r="R236" i="13"/>
  <c r="R238" i="13"/>
  <c r="AZ238" i="13" s="1"/>
  <c r="R239" i="13"/>
  <c r="R241" i="13"/>
  <c r="AZ241" i="13" s="1"/>
  <c r="R228" i="13"/>
  <c r="AZ228" i="13" s="1"/>
  <c r="R226" i="13"/>
  <c r="AZ226" i="13" s="1"/>
  <c r="AZ227" i="13" s="1"/>
  <c r="R190" i="13"/>
  <c r="AZ190" i="13" s="1"/>
  <c r="R191" i="13"/>
  <c r="R192" i="13"/>
  <c r="R194" i="13"/>
  <c r="R195" i="13"/>
  <c r="R198" i="13"/>
  <c r="R199" i="13"/>
  <c r="R200" i="13"/>
  <c r="R201" i="13"/>
  <c r="AZ201" i="13" s="1"/>
  <c r="R202" i="13"/>
  <c r="R203" i="13"/>
  <c r="R204" i="13"/>
  <c r="R205" i="13"/>
  <c r="R208" i="13"/>
  <c r="R209" i="13"/>
  <c r="AZ209" i="13" s="1"/>
  <c r="R210" i="13"/>
  <c r="R212" i="13"/>
  <c r="AZ212" i="13" s="1"/>
  <c r="R213" i="13"/>
  <c r="R214" i="13"/>
  <c r="R216" i="13"/>
  <c r="R217" i="13"/>
  <c r="AZ217" i="13" s="1"/>
  <c r="R218" i="13"/>
  <c r="R220" i="13"/>
  <c r="AZ220" i="13" s="1"/>
  <c r="R221" i="13"/>
  <c r="R222" i="13"/>
  <c r="R224" i="13"/>
  <c r="AZ224" i="13" s="1"/>
  <c r="R188" i="13"/>
  <c r="R138" i="13"/>
  <c r="R139" i="13"/>
  <c r="AZ139" i="13" s="1"/>
  <c r="R140" i="13"/>
  <c r="R142" i="13"/>
  <c r="AZ142" i="13" s="1"/>
  <c r="R143" i="13"/>
  <c r="R145" i="13"/>
  <c r="AZ145" i="13" s="1"/>
  <c r="R146" i="13"/>
  <c r="R147" i="13"/>
  <c r="R149" i="13"/>
  <c r="AZ149" i="13" s="1"/>
  <c r="R150" i="13"/>
  <c r="R151" i="13"/>
  <c r="R152" i="13"/>
  <c r="R153" i="13"/>
  <c r="R154" i="13"/>
  <c r="R155" i="13"/>
  <c r="R156" i="13"/>
  <c r="R157" i="13"/>
  <c r="R159" i="13"/>
  <c r="R160" i="13"/>
  <c r="AZ160" i="13" s="1"/>
  <c r="R161" i="13"/>
  <c r="R163" i="13"/>
  <c r="R164" i="13"/>
  <c r="AZ164" i="13" s="1"/>
  <c r="R165" i="13"/>
  <c r="R167" i="13"/>
  <c r="R168" i="13"/>
  <c r="AZ168" i="13" s="1"/>
  <c r="R169" i="13"/>
  <c r="R171" i="13"/>
  <c r="R172" i="13"/>
  <c r="R173" i="13"/>
  <c r="AZ173" i="13" s="1"/>
  <c r="R174" i="13"/>
  <c r="R175" i="13"/>
  <c r="R177" i="13"/>
  <c r="R178" i="13"/>
  <c r="R179" i="13"/>
  <c r="AZ179" i="13" s="1"/>
  <c r="R180" i="13"/>
  <c r="R182" i="13"/>
  <c r="R183" i="13"/>
  <c r="AZ183" i="13" s="1"/>
  <c r="R184" i="13"/>
  <c r="R185" i="13"/>
  <c r="Y314" i="13"/>
  <c r="X314" i="13"/>
  <c r="W314" i="13"/>
  <c r="V314" i="13"/>
  <c r="U314" i="13"/>
  <c r="T314" i="13"/>
  <c r="S314" i="13"/>
  <c r="R314" i="13"/>
  <c r="BF197" i="13" l="1"/>
  <c r="BF211" i="13"/>
  <c r="BF223" i="13"/>
  <c r="BF230" i="13"/>
  <c r="BF240" i="13"/>
  <c r="BF267" i="13"/>
  <c r="BF305" i="13"/>
  <c r="AZ150" i="13"/>
  <c r="AZ185" i="13"/>
  <c r="AZ180" i="13"/>
  <c r="AZ175" i="13"/>
  <c r="AZ171" i="13"/>
  <c r="AZ165" i="13"/>
  <c r="AZ166" i="13" s="1"/>
  <c r="AZ155" i="13"/>
  <c r="AZ151" i="13"/>
  <c r="AZ146" i="13"/>
  <c r="AZ148" i="13" s="1"/>
  <c r="AZ140" i="13"/>
  <c r="AZ141" i="13" s="1"/>
  <c r="R189" i="13"/>
  <c r="AZ188" i="13"/>
  <c r="AZ189" i="13" s="1"/>
  <c r="AZ214" i="13"/>
  <c r="AZ203" i="13"/>
  <c r="AZ199" i="13"/>
  <c r="AZ192" i="13"/>
  <c r="AZ236" i="13"/>
  <c r="AZ237" i="13" s="1"/>
  <c r="AZ232" i="13"/>
  <c r="AZ257" i="13"/>
  <c r="AZ258" i="13" s="1"/>
  <c r="AZ252" i="13"/>
  <c r="AZ247" i="13"/>
  <c r="AZ272" i="13"/>
  <c r="AZ287" i="13"/>
  <c r="AZ283" i="13"/>
  <c r="AZ279" i="13"/>
  <c r="BB150" i="13"/>
  <c r="BB154" i="13"/>
  <c r="BB159" i="13"/>
  <c r="BB169" i="13"/>
  <c r="BB170" i="13" s="1"/>
  <c r="BB174" i="13"/>
  <c r="BB184" i="13"/>
  <c r="BB191" i="13"/>
  <c r="BB196" i="13"/>
  <c r="BB197" i="13" s="1"/>
  <c r="BB205" i="13"/>
  <c r="BB210" i="13"/>
  <c r="BB211" i="13" s="1"/>
  <c r="BB216" i="13"/>
  <c r="BB221" i="13"/>
  <c r="BB233" i="13"/>
  <c r="BB244" i="13"/>
  <c r="BB248" i="13"/>
  <c r="BB253" i="13"/>
  <c r="BB270" i="13"/>
  <c r="BB277" i="13"/>
  <c r="BB281" i="13"/>
  <c r="BB285" i="13"/>
  <c r="BB289" i="13"/>
  <c r="T307" i="13"/>
  <c r="BB306" i="13"/>
  <c r="BB307" i="13" s="1"/>
  <c r="V141" i="13"/>
  <c r="BD139" i="13"/>
  <c r="BD150" i="13"/>
  <c r="BD154" i="13"/>
  <c r="BD159" i="13"/>
  <c r="V166" i="13"/>
  <c r="BD164" i="13"/>
  <c r="BD169" i="13"/>
  <c r="BD170" i="13" s="1"/>
  <c r="BD174" i="13"/>
  <c r="V181" i="13"/>
  <c r="BD179" i="13"/>
  <c r="BD184" i="13"/>
  <c r="BD191" i="13"/>
  <c r="BD196" i="13"/>
  <c r="BD202" i="13"/>
  <c r="BD206" i="13"/>
  <c r="V219" i="13"/>
  <c r="BD217" i="13"/>
  <c r="BD222" i="13"/>
  <c r="BD231" i="13"/>
  <c r="V237" i="13"/>
  <c r="V242" i="13" s="1"/>
  <c r="BD235" i="13"/>
  <c r="BD246" i="13"/>
  <c r="V258" i="13"/>
  <c r="BD256" i="13"/>
  <c r="BD261" i="13"/>
  <c r="V275" i="13"/>
  <c r="BD274" i="13"/>
  <c r="BD275" i="13" s="1"/>
  <c r="BD279" i="13"/>
  <c r="BD283" i="13"/>
  <c r="BD287" i="13"/>
  <c r="BD291" i="13"/>
  <c r="BF138" i="13"/>
  <c r="BF143" i="13"/>
  <c r="BF153" i="13"/>
  <c r="BA290" i="13"/>
  <c r="BA284" i="13"/>
  <c r="BA280" i="13"/>
  <c r="BA261" i="13"/>
  <c r="BA246" i="13"/>
  <c r="BA231" i="13"/>
  <c r="BA222" i="13"/>
  <c r="BA205" i="13"/>
  <c r="BA196" i="13"/>
  <c r="BA191" i="13"/>
  <c r="BA184" i="13"/>
  <c r="BA174" i="13"/>
  <c r="BA169" i="13"/>
  <c r="BA159" i="13"/>
  <c r="BA154" i="13"/>
  <c r="BA150" i="13"/>
  <c r="BC138" i="13"/>
  <c r="BC143" i="13"/>
  <c r="BC144" i="13" s="1"/>
  <c r="BC153" i="13"/>
  <c r="BC157" i="13"/>
  <c r="BC163" i="13"/>
  <c r="BC178" i="13"/>
  <c r="BC200" i="13"/>
  <c r="BC204" i="13"/>
  <c r="BC214" i="13"/>
  <c r="BC232" i="13"/>
  <c r="BC236" i="13"/>
  <c r="BC247" i="13"/>
  <c r="BC252" i="13"/>
  <c r="BC257" i="13"/>
  <c r="BC258" i="13" s="1"/>
  <c r="BC280" i="13"/>
  <c r="BC284" i="13"/>
  <c r="BC288" i="13"/>
  <c r="BC304" i="13"/>
  <c r="W144" i="13"/>
  <c r="BE142" i="13"/>
  <c r="BE147" i="13"/>
  <c r="BE152" i="13"/>
  <c r="BE156" i="13"/>
  <c r="BE161" i="13"/>
  <c r="BE167" i="13"/>
  <c r="BE172" i="13"/>
  <c r="BE177" i="13"/>
  <c r="BE182" i="13"/>
  <c r="W189" i="13"/>
  <c r="BE188" i="13"/>
  <c r="BE189" i="13" s="1"/>
  <c r="BE194" i="13"/>
  <c r="BE199" i="13"/>
  <c r="BE203" i="13"/>
  <c r="BE208" i="13"/>
  <c r="BE213" i="13"/>
  <c r="BE218" i="13"/>
  <c r="BE219" i="13" s="1"/>
  <c r="BE231" i="13"/>
  <c r="W237" i="13"/>
  <c r="BE235" i="13"/>
  <c r="BE246" i="13"/>
  <c r="W258" i="13"/>
  <c r="BE256" i="13"/>
  <c r="BE261" i="13"/>
  <c r="W275" i="13"/>
  <c r="BE274" i="13"/>
  <c r="BE275" i="13" s="1"/>
  <c r="BE279" i="13"/>
  <c r="BE283" i="13"/>
  <c r="BE287" i="13"/>
  <c r="BE291" i="13"/>
  <c r="BG140" i="13"/>
  <c r="BG141" i="13" s="1"/>
  <c r="BG146" i="13"/>
  <c r="BG151" i="13"/>
  <c r="BG155" i="13"/>
  <c r="BG165" i="13"/>
  <c r="BG166" i="13" s="1"/>
  <c r="BG171" i="13"/>
  <c r="BG175" i="13"/>
  <c r="BG180" i="13"/>
  <c r="BG181" i="13" s="1"/>
  <c r="BG185" i="13"/>
  <c r="BG192" i="13"/>
  <c r="BG198" i="13"/>
  <c r="BG202" i="13"/>
  <c r="BG206" i="13"/>
  <c r="BG218" i="13"/>
  <c r="BG219" i="13" s="1"/>
  <c r="Y230" i="13"/>
  <c r="BG228" i="13"/>
  <c r="BG233" i="13"/>
  <c r="Y240" i="13"/>
  <c r="BG238" i="13"/>
  <c r="BG244" i="13"/>
  <c r="BG248" i="13"/>
  <c r="BG253" i="13"/>
  <c r="Y262" i="13"/>
  <c r="BG259" i="13"/>
  <c r="BG270" i="13"/>
  <c r="BG271" i="13" s="1"/>
  <c r="BG277" i="13"/>
  <c r="BG281" i="13"/>
  <c r="BG285" i="13"/>
  <c r="BG289" i="13"/>
  <c r="AZ181" i="13"/>
  <c r="BF170" i="13"/>
  <c r="BF176" i="13"/>
  <c r="BF186" i="13"/>
  <c r="BF193" i="13"/>
  <c r="BF207" i="13"/>
  <c r="AZ174" i="13"/>
  <c r="AZ182" i="13"/>
  <c r="AZ172" i="13"/>
  <c r="AZ161" i="13"/>
  <c r="AZ162" i="13" s="1"/>
  <c r="AZ152" i="13"/>
  <c r="AZ147" i="13"/>
  <c r="AZ221" i="13"/>
  <c r="AZ216" i="13"/>
  <c r="AZ210" i="13"/>
  <c r="AZ211" i="13" s="1"/>
  <c r="AZ204" i="13"/>
  <c r="AZ200" i="13"/>
  <c r="AZ194" i="13"/>
  <c r="AZ233" i="13"/>
  <c r="AZ253" i="13"/>
  <c r="AZ255" i="13" s="1"/>
  <c r="AZ248" i="13"/>
  <c r="AZ244" i="13"/>
  <c r="AZ284" i="13"/>
  <c r="AZ280" i="13"/>
  <c r="BL138" i="13"/>
  <c r="BB138" i="13"/>
  <c r="BL143" i="13"/>
  <c r="BB143" i="13"/>
  <c r="BB144" i="13" s="1"/>
  <c r="BB153" i="13"/>
  <c r="BB157" i="13"/>
  <c r="BB163" i="13"/>
  <c r="BB178" i="13"/>
  <c r="BB200" i="13"/>
  <c r="BB204" i="13"/>
  <c r="BB214" i="13"/>
  <c r="BB232" i="13"/>
  <c r="BB236" i="13"/>
  <c r="BB247" i="13"/>
  <c r="BB252" i="13"/>
  <c r="BB257" i="13"/>
  <c r="BB258" i="13" s="1"/>
  <c r="BB280" i="13"/>
  <c r="BB284" i="13"/>
  <c r="BB288" i="13"/>
  <c r="BB304" i="13"/>
  <c r="BM138" i="13"/>
  <c r="BD138" i="13"/>
  <c r="BM143" i="13"/>
  <c r="BD143" i="13"/>
  <c r="BD153" i="13"/>
  <c r="BD157" i="13"/>
  <c r="BD163" i="13"/>
  <c r="BD178" i="13"/>
  <c r="BD205" i="13"/>
  <c r="BD210" i="13"/>
  <c r="BD216" i="13"/>
  <c r="BD221" i="13"/>
  <c r="BD223" i="13" s="1"/>
  <c r="BD229" i="13"/>
  <c r="BD234" i="13"/>
  <c r="BD239" i="13"/>
  <c r="BD245" i="13"/>
  <c r="BD249" i="13"/>
  <c r="BD254" i="13"/>
  <c r="BD260" i="13"/>
  <c r="BD266" i="13"/>
  <c r="BD272" i="13"/>
  <c r="BD278" i="13"/>
  <c r="BD282" i="13"/>
  <c r="BD286" i="13"/>
  <c r="BD290" i="13"/>
  <c r="BF147" i="13"/>
  <c r="BF152" i="13"/>
  <c r="X189" i="13"/>
  <c r="BF188" i="13"/>
  <c r="BF189" i="13" s="1"/>
  <c r="BA291" i="13"/>
  <c r="BA285" i="13"/>
  <c r="BA281" i="13"/>
  <c r="BA277" i="13"/>
  <c r="BA257" i="13"/>
  <c r="BA258" i="13" s="1"/>
  <c r="BA252" i="13"/>
  <c r="BA247" i="13"/>
  <c r="BA236" i="13"/>
  <c r="BA237" i="13" s="1"/>
  <c r="BA232" i="13"/>
  <c r="BA218" i="13"/>
  <c r="BA219" i="13" s="1"/>
  <c r="BA213" i="13"/>
  <c r="BA208" i="13"/>
  <c r="BA202" i="13"/>
  <c r="BA198" i="13"/>
  <c r="BA192" i="13"/>
  <c r="BA185" i="13"/>
  <c r="BA180" i="13"/>
  <c r="BA181" i="13" s="1"/>
  <c r="BA175" i="13"/>
  <c r="BA171" i="13"/>
  <c r="BA165" i="13"/>
  <c r="BA166" i="13" s="1"/>
  <c r="BA155" i="13"/>
  <c r="BA151" i="13"/>
  <c r="BA146" i="13"/>
  <c r="BA140" i="13"/>
  <c r="BA141" i="13" s="1"/>
  <c r="BC147" i="13"/>
  <c r="BC152" i="13"/>
  <c r="BC156" i="13"/>
  <c r="BC161" i="13"/>
  <c r="BC167" i="13"/>
  <c r="BC172" i="13"/>
  <c r="BC177" i="13"/>
  <c r="BC182" i="13"/>
  <c r="U189" i="13"/>
  <c r="BC188" i="13"/>
  <c r="BC189" i="13" s="1"/>
  <c r="BC194" i="13"/>
  <c r="BC199" i="13"/>
  <c r="BC203" i="13"/>
  <c r="BC208" i="13"/>
  <c r="BC213" i="13"/>
  <c r="BC215" i="13" s="1"/>
  <c r="BC218" i="13"/>
  <c r="BC231" i="13"/>
  <c r="BC246" i="13"/>
  <c r="BC261" i="13"/>
  <c r="BC262" i="13" s="1"/>
  <c r="BC279" i="13"/>
  <c r="BC283" i="13"/>
  <c r="BC287" i="13"/>
  <c r="BC291" i="13"/>
  <c r="BE140" i="13"/>
  <c r="BE146" i="13"/>
  <c r="BE151" i="13"/>
  <c r="BE155" i="13"/>
  <c r="BE165" i="13"/>
  <c r="BE171" i="13"/>
  <c r="BE175" i="13"/>
  <c r="BE180" i="13"/>
  <c r="BE185" i="13"/>
  <c r="BE192" i="13"/>
  <c r="BE198" i="13"/>
  <c r="BE202" i="13"/>
  <c r="BE206" i="13"/>
  <c r="BE222" i="13"/>
  <c r="BE229" i="13"/>
  <c r="BE234" i="13"/>
  <c r="BE239" i="13"/>
  <c r="BE245" i="13"/>
  <c r="BE249" i="13"/>
  <c r="BE254" i="13"/>
  <c r="BE260" i="13"/>
  <c r="BE266" i="13"/>
  <c r="BE272" i="13"/>
  <c r="BE278" i="13"/>
  <c r="BE282" i="13"/>
  <c r="BE286" i="13"/>
  <c r="BE290" i="13"/>
  <c r="BG150" i="13"/>
  <c r="BG154" i="13"/>
  <c r="BG159" i="13"/>
  <c r="BG169" i="13"/>
  <c r="BG174" i="13"/>
  <c r="BG176" i="13" s="1"/>
  <c r="BG184" i="13"/>
  <c r="BG191" i="13"/>
  <c r="BG196" i="13"/>
  <c r="BG205" i="13"/>
  <c r="BG210" i="13"/>
  <c r="BG232" i="13"/>
  <c r="BG236" i="13"/>
  <c r="BG247" i="13"/>
  <c r="BG252" i="13"/>
  <c r="BG257" i="13"/>
  <c r="BG280" i="13"/>
  <c r="BG284" i="13"/>
  <c r="BG288" i="13"/>
  <c r="BG304" i="13"/>
  <c r="BB271" i="13"/>
  <c r="BD197" i="13"/>
  <c r="BF144" i="13"/>
  <c r="BC237" i="13"/>
  <c r="BE162" i="13"/>
  <c r="AZ177" i="13"/>
  <c r="AZ167" i="13"/>
  <c r="AZ156" i="13"/>
  <c r="AZ178" i="13"/>
  <c r="AZ163" i="13"/>
  <c r="AZ157" i="13"/>
  <c r="AZ153" i="13"/>
  <c r="AZ143" i="13"/>
  <c r="AZ144" i="13" s="1"/>
  <c r="AZ138" i="13"/>
  <c r="AZ222" i="13"/>
  <c r="AZ223" i="13" s="1"/>
  <c r="AZ205" i="13"/>
  <c r="R197" i="13"/>
  <c r="AZ195" i="13"/>
  <c r="AZ197" i="13" s="1"/>
  <c r="AZ239" i="13"/>
  <c r="AZ240" i="13" s="1"/>
  <c r="AZ234" i="13"/>
  <c r="AZ229" i="13"/>
  <c r="AZ230" i="13" s="1"/>
  <c r="AZ260" i="13"/>
  <c r="AZ254" i="13"/>
  <c r="AZ249" i="13"/>
  <c r="AZ245" i="13"/>
  <c r="R275" i="13"/>
  <c r="AZ274" i="13"/>
  <c r="AZ275" i="13" s="1"/>
  <c r="AZ285" i="13"/>
  <c r="AZ281" i="13"/>
  <c r="AZ277" i="13"/>
  <c r="BB147" i="13"/>
  <c r="BB152" i="13"/>
  <c r="BB156" i="13"/>
  <c r="BB161" i="13"/>
  <c r="BB167" i="13"/>
  <c r="BB172" i="13"/>
  <c r="BB177" i="13"/>
  <c r="BB182" i="13"/>
  <c r="T189" i="13"/>
  <c r="BB188" i="13"/>
  <c r="BB189" i="13" s="1"/>
  <c r="BB194" i="13"/>
  <c r="BB199" i="13"/>
  <c r="BB203" i="13"/>
  <c r="BB208" i="13"/>
  <c r="BB213" i="13"/>
  <c r="BB218" i="13"/>
  <c r="BB231" i="13"/>
  <c r="BB246" i="13"/>
  <c r="BB261" i="13"/>
  <c r="BB279" i="13"/>
  <c r="BB283" i="13"/>
  <c r="BB287" i="13"/>
  <c r="BB291" i="13"/>
  <c r="V144" i="13"/>
  <c r="BD142" i="13"/>
  <c r="BD147" i="13"/>
  <c r="BD152" i="13"/>
  <c r="BD156" i="13"/>
  <c r="BD161" i="13"/>
  <c r="BD162" i="13" s="1"/>
  <c r="BD167" i="13"/>
  <c r="BD172" i="13"/>
  <c r="BD177" i="13"/>
  <c r="BD182" i="13"/>
  <c r="V189" i="13"/>
  <c r="BD188" i="13"/>
  <c r="BD189" i="13" s="1"/>
  <c r="BD194" i="13"/>
  <c r="BD200" i="13"/>
  <c r="BD204" i="13"/>
  <c r="V211" i="13"/>
  <c r="BD209" i="13"/>
  <c r="BD211" i="13" s="1"/>
  <c r="BD214" i="13"/>
  <c r="V230" i="13"/>
  <c r="BD228" i="13"/>
  <c r="BD230" i="13" s="1"/>
  <c r="BD233" i="13"/>
  <c r="V240" i="13"/>
  <c r="BD238" i="13"/>
  <c r="BD240" i="13" s="1"/>
  <c r="BD244" i="13"/>
  <c r="BD248" i="13"/>
  <c r="BD253" i="13"/>
  <c r="BD270" i="13"/>
  <c r="BD277" i="13"/>
  <c r="BD281" i="13"/>
  <c r="BD285" i="13"/>
  <c r="BD289" i="13"/>
  <c r="BF140" i="13"/>
  <c r="BF146" i="13"/>
  <c r="BF151" i="13"/>
  <c r="X227" i="13"/>
  <c r="BF226" i="13"/>
  <c r="BF227" i="13" s="1"/>
  <c r="BA286" i="13"/>
  <c r="BA282" i="13"/>
  <c r="BA278" i="13"/>
  <c r="BA270" i="13"/>
  <c r="BA271" i="13" s="1"/>
  <c r="BA253" i="13"/>
  <c r="BA248" i="13"/>
  <c r="BA244" i="13"/>
  <c r="BA233" i="13"/>
  <c r="BA214" i="13"/>
  <c r="BA215" i="13" s="1"/>
  <c r="BA203" i="13"/>
  <c r="BA199" i="13"/>
  <c r="BA194" i="13"/>
  <c r="S189" i="13"/>
  <c r="BA188" i="13"/>
  <c r="BA189" i="13" s="1"/>
  <c r="BA182" i="13"/>
  <c r="BA177" i="13"/>
  <c r="BA172" i="13"/>
  <c r="BA167" i="13"/>
  <c r="BA161" i="13"/>
  <c r="BA162" i="13" s="1"/>
  <c r="BA156" i="13"/>
  <c r="BA152" i="13"/>
  <c r="BA147" i="13"/>
  <c r="BC140" i="13"/>
  <c r="BC146" i="13"/>
  <c r="BC148" i="13" s="1"/>
  <c r="BC151" i="13"/>
  <c r="BC155" i="13"/>
  <c r="BC165" i="13"/>
  <c r="BC171" i="13"/>
  <c r="BC175" i="13"/>
  <c r="BC180" i="13"/>
  <c r="BC181" i="13" s="1"/>
  <c r="BC185" i="13"/>
  <c r="BC192" i="13"/>
  <c r="BC198" i="13"/>
  <c r="BC202" i="13"/>
  <c r="BC206" i="13"/>
  <c r="BC222" i="13"/>
  <c r="BC229" i="13"/>
  <c r="BC230" i="13" s="1"/>
  <c r="BC234" i="13"/>
  <c r="BC239" i="13"/>
  <c r="BC245" i="13"/>
  <c r="BC249" i="13"/>
  <c r="BC254" i="13"/>
  <c r="BC260" i="13"/>
  <c r="BC266" i="13"/>
  <c r="BC267" i="13" s="1"/>
  <c r="BC272" i="13"/>
  <c r="BC278" i="13"/>
  <c r="BC282" i="13"/>
  <c r="BC286" i="13"/>
  <c r="BC290" i="13"/>
  <c r="W141" i="13"/>
  <c r="BE139" i="13"/>
  <c r="BE141" i="13" s="1"/>
  <c r="BE150" i="13"/>
  <c r="BE154" i="13"/>
  <c r="BE159" i="13"/>
  <c r="W166" i="13"/>
  <c r="BE164" i="13"/>
  <c r="BE166" i="13" s="1"/>
  <c r="BE169" i="13"/>
  <c r="BE174" i="13"/>
  <c r="BE176" i="13" s="1"/>
  <c r="W181" i="13"/>
  <c r="BE179" i="13"/>
  <c r="BE184" i="13"/>
  <c r="BE186" i="13" s="1"/>
  <c r="BE191" i="13"/>
  <c r="BE196" i="13"/>
  <c r="BE197" i="13" s="1"/>
  <c r="BE205" i="13"/>
  <c r="BE210" i="13"/>
  <c r="BE211" i="13" s="1"/>
  <c r="BE216" i="13"/>
  <c r="BE221" i="13"/>
  <c r="BE223" i="13" s="1"/>
  <c r="W230" i="13"/>
  <c r="BE228" i="13"/>
  <c r="BE230" i="13" s="1"/>
  <c r="BE233" i="13"/>
  <c r="BE244" i="13"/>
  <c r="BE248" i="13"/>
  <c r="BE253" i="13"/>
  <c r="BE270" i="13"/>
  <c r="BE271" i="13" s="1"/>
  <c r="BE273" i="13" s="1"/>
  <c r="BE277" i="13"/>
  <c r="BE281" i="13"/>
  <c r="BE285" i="13"/>
  <c r="BE289" i="13"/>
  <c r="BG138" i="13"/>
  <c r="BG143" i="13"/>
  <c r="BG144" i="13" s="1"/>
  <c r="BG153" i="13"/>
  <c r="BG157" i="13"/>
  <c r="BG163" i="13"/>
  <c r="Y170" i="13"/>
  <c r="BG168" i="13"/>
  <c r="BG170" i="13" s="1"/>
  <c r="BG178" i="13"/>
  <c r="Y197" i="13"/>
  <c r="BG195" i="13"/>
  <c r="BG197" i="13" s="1"/>
  <c r="BG200" i="13"/>
  <c r="BG204" i="13"/>
  <c r="Y211" i="13"/>
  <c r="BG209" i="13"/>
  <c r="BG211" i="13" s="1"/>
  <c r="BG214" i="13"/>
  <c r="BG221" i="13"/>
  <c r="BG231" i="13"/>
  <c r="BG246" i="13"/>
  <c r="BG261" i="13"/>
  <c r="Y275" i="13"/>
  <c r="BG274" i="13"/>
  <c r="BG275" i="13" s="1"/>
  <c r="BG279" i="13"/>
  <c r="BG283" i="13"/>
  <c r="BG287" i="13"/>
  <c r="BG291" i="13"/>
  <c r="BB237" i="13"/>
  <c r="BD262" i="13"/>
  <c r="BD267" i="13"/>
  <c r="BF162" i="13"/>
  <c r="BF255" i="13"/>
  <c r="BF258" i="13"/>
  <c r="BF271" i="13"/>
  <c r="BF273" i="13" s="1"/>
  <c r="BC162" i="13"/>
  <c r="BC219" i="13"/>
  <c r="BE240" i="13"/>
  <c r="BE262" i="13"/>
  <c r="BE267" i="13"/>
  <c r="BG186" i="13"/>
  <c r="BG237" i="13"/>
  <c r="BG258" i="13"/>
  <c r="AZ184" i="13"/>
  <c r="AZ169" i="13"/>
  <c r="AZ170" i="13" s="1"/>
  <c r="AZ159" i="13"/>
  <c r="AZ154" i="13"/>
  <c r="AZ218" i="13"/>
  <c r="AZ219" i="13" s="1"/>
  <c r="AZ213" i="13"/>
  <c r="AZ208" i="13"/>
  <c r="AZ202" i="13"/>
  <c r="AZ198" i="13"/>
  <c r="AZ191" i="13"/>
  <c r="AZ193" i="13" s="1"/>
  <c r="AZ231" i="13"/>
  <c r="AZ261" i="13"/>
  <c r="AZ246" i="13"/>
  <c r="AZ266" i="13"/>
  <c r="AZ267" i="13" s="1"/>
  <c r="AZ270" i="13"/>
  <c r="AZ271" i="13" s="1"/>
  <c r="AZ273" i="13" s="1"/>
  <c r="AZ286" i="13"/>
  <c r="AZ282" i="13"/>
  <c r="AZ278" i="13"/>
  <c r="BL140" i="13"/>
  <c r="BB140" i="13"/>
  <c r="BB141" i="13" s="1"/>
  <c r="BL146" i="13"/>
  <c r="BB146" i="13"/>
  <c r="BB151" i="13"/>
  <c r="BB155" i="13"/>
  <c r="T162" i="13"/>
  <c r="BB160" i="13"/>
  <c r="BB162" i="13" s="1"/>
  <c r="BB165" i="13"/>
  <c r="BB166" i="13" s="1"/>
  <c r="BB171" i="13"/>
  <c r="BB175" i="13"/>
  <c r="BB176" i="13" s="1"/>
  <c r="BB180" i="13"/>
  <c r="BB181" i="13" s="1"/>
  <c r="BB185" i="13"/>
  <c r="BB192" i="13"/>
  <c r="BB193" i="13" s="1"/>
  <c r="BB198" i="13"/>
  <c r="BB202" i="13"/>
  <c r="BB206" i="13"/>
  <c r="T219" i="13"/>
  <c r="BB217" i="13"/>
  <c r="BB222" i="13"/>
  <c r="BB229" i="13"/>
  <c r="BB230" i="13" s="1"/>
  <c r="BB234" i="13"/>
  <c r="BB239" i="13"/>
  <c r="BB240" i="13" s="1"/>
  <c r="BB245" i="13"/>
  <c r="BB249" i="13"/>
  <c r="BB254" i="13"/>
  <c r="BB260" i="13"/>
  <c r="BB262" i="13" s="1"/>
  <c r="BB266" i="13"/>
  <c r="BB267" i="13" s="1"/>
  <c r="BB272" i="13"/>
  <c r="BB278" i="13"/>
  <c r="BB282" i="13"/>
  <c r="BB286" i="13"/>
  <c r="BB290" i="13"/>
  <c r="BM140" i="13"/>
  <c r="BD140" i="13"/>
  <c r="BM146" i="13"/>
  <c r="BD146" i="13"/>
  <c r="BD148" i="13" s="1"/>
  <c r="BD151" i="13"/>
  <c r="BD155" i="13"/>
  <c r="BD165" i="13"/>
  <c r="BD171" i="13"/>
  <c r="BD175" i="13"/>
  <c r="BD180" i="13"/>
  <c r="BD185" i="13"/>
  <c r="BD186" i="13" s="1"/>
  <c r="BD192" i="13"/>
  <c r="BD199" i="13"/>
  <c r="BD203" i="13"/>
  <c r="BD208" i="13"/>
  <c r="BD213" i="13"/>
  <c r="BD218" i="13"/>
  <c r="V227" i="13"/>
  <c r="BD226" i="13"/>
  <c r="BD227" i="13" s="1"/>
  <c r="BD232" i="13"/>
  <c r="BD236" i="13"/>
  <c r="BD247" i="13"/>
  <c r="BD252" i="13"/>
  <c r="BD257" i="13"/>
  <c r="BD280" i="13"/>
  <c r="BD284" i="13"/>
  <c r="BD288" i="13"/>
  <c r="BD304" i="13"/>
  <c r="X141" i="13"/>
  <c r="BF139" i="13"/>
  <c r="X148" i="13"/>
  <c r="BF145" i="13"/>
  <c r="BF150" i="13"/>
  <c r="X166" i="13"/>
  <c r="BF164" i="13"/>
  <c r="BF166" i="13" s="1"/>
  <c r="X181" i="13"/>
  <c r="BF179" i="13"/>
  <c r="BF181" i="13" s="1"/>
  <c r="X215" i="13"/>
  <c r="BF212" i="13"/>
  <c r="BF215" i="13" s="1"/>
  <c r="X219" i="13"/>
  <c r="BF217" i="13"/>
  <c r="BF219" i="13" s="1"/>
  <c r="X237" i="13"/>
  <c r="BF235" i="13"/>
  <c r="BF237" i="13" s="1"/>
  <c r="BF242" i="13" s="1"/>
  <c r="X275" i="13"/>
  <c r="BF274" i="13"/>
  <c r="BF275" i="13" s="1"/>
  <c r="BA287" i="13"/>
  <c r="BA283" i="13"/>
  <c r="BA279" i="13"/>
  <c r="BA272" i="13"/>
  <c r="BA266" i="13"/>
  <c r="BA267" i="13" s="1"/>
  <c r="BA260" i="13"/>
  <c r="BA254" i="13"/>
  <c r="BA249" i="13"/>
  <c r="BA245" i="13"/>
  <c r="BA239" i="13"/>
  <c r="BA240" i="13" s="1"/>
  <c r="BA234" i="13"/>
  <c r="BA229" i="13"/>
  <c r="BA230" i="13" s="1"/>
  <c r="BA221" i="13"/>
  <c r="BA223" i="13" s="1"/>
  <c r="BA216" i="13"/>
  <c r="BA210" i="13"/>
  <c r="BA211" i="13" s="1"/>
  <c r="BA204" i="13"/>
  <c r="BA200" i="13"/>
  <c r="BA178" i="13"/>
  <c r="BA163" i="13"/>
  <c r="BA157" i="13"/>
  <c r="BA153" i="13"/>
  <c r="BA143" i="13"/>
  <c r="BA144" i="13" s="1"/>
  <c r="BA138" i="13"/>
  <c r="BC150" i="13"/>
  <c r="BC154" i="13"/>
  <c r="BC159" i="13"/>
  <c r="BC169" i="13"/>
  <c r="BC170" i="13" s="1"/>
  <c r="BC174" i="13"/>
  <c r="BC184" i="13"/>
  <c r="BC186" i="13" s="1"/>
  <c r="BC191" i="13"/>
  <c r="BC196" i="13"/>
  <c r="BC197" i="13" s="1"/>
  <c r="BC205" i="13"/>
  <c r="BC210" i="13"/>
  <c r="BC211" i="13" s="1"/>
  <c r="BC216" i="13"/>
  <c r="BC221" i="13"/>
  <c r="BC233" i="13"/>
  <c r="BC244" i="13"/>
  <c r="BC248" i="13"/>
  <c r="BC253" i="13"/>
  <c r="BC270" i="13"/>
  <c r="BC271" i="13" s="1"/>
  <c r="BC277" i="13"/>
  <c r="BC281" i="13"/>
  <c r="BC285" i="13"/>
  <c r="BC289" i="13"/>
  <c r="U307" i="13"/>
  <c r="BC306" i="13"/>
  <c r="BC307" i="13" s="1"/>
  <c r="BE138" i="13"/>
  <c r="BE143" i="13"/>
  <c r="BE153" i="13"/>
  <c r="BE157" i="13"/>
  <c r="BE163" i="13"/>
  <c r="BE178" i="13"/>
  <c r="BE200" i="13"/>
  <c r="BE204" i="13"/>
  <c r="BE207" i="13" s="1"/>
  <c r="BE214" i="13"/>
  <c r="BE215" i="13" s="1"/>
  <c r="BE232" i="13"/>
  <c r="BE236" i="13"/>
  <c r="BE247" i="13"/>
  <c r="BE252" i="13"/>
  <c r="BE257" i="13"/>
  <c r="BE280" i="13"/>
  <c r="BE284" i="13"/>
  <c r="BE288" i="13"/>
  <c r="BE304" i="13"/>
  <c r="BG147" i="13"/>
  <c r="BG152" i="13"/>
  <c r="BG156" i="13"/>
  <c r="BG161" i="13"/>
  <c r="BG162" i="13" s="1"/>
  <c r="BG167" i="13"/>
  <c r="BG172" i="13"/>
  <c r="BG177" i="13"/>
  <c r="BG182" i="13"/>
  <c r="Y189" i="13"/>
  <c r="BG188" i="13"/>
  <c r="BG189" i="13" s="1"/>
  <c r="BG194" i="13"/>
  <c r="BG199" i="13"/>
  <c r="BG203" i="13"/>
  <c r="BG208" i="13"/>
  <c r="BG213" i="13"/>
  <c r="Y223" i="13"/>
  <c r="BG220" i="13"/>
  <c r="BG223" i="13" s="1"/>
  <c r="BG229" i="13"/>
  <c r="BG234" i="13"/>
  <c r="BG239" i="13"/>
  <c r="BG245" i="13"/>
  <c r="BG249" i="13"/>
  <c r="BG254" i="13"/>
  <c r="BG260" i="13"/>
  <c r="BG266" i="13"/>
  <c r="BG267" i="13" s="1"/>
  <c r="BG272" i="13"/>
  <c r="BG278" i="13"/>
  <c r="BG282" i="13"/>
  <c r="BG286" i="13"/>
  <c r="BG290" i="13"/>
  <c r="BB215" i="13"/>
  <c r="BD271" i="13"/>
  <c r="BD273" i="13" s="1"/>
  <c r="BA197" i="13"/>
  <c r="BA186" i="13"/>
  <c r="BA176" i="13"/>
  <c r="BA170" i="13"/>
  <c r="BC141" i="13"/>
  <c r="BC166" i="13"/>
  <c r="BC240" i="13"/>
  <c r="BE170" i="13"/>
  <c r="BE193" i="13"/>
  <c r="U271" i="13"/>
  <c r="R144" i="13"/>
  <c r="R240" i="13"/>
  <c r="Y176" i="13"/>
  <c r="Y186" i="13"/>
  <c r="Y193" i="13"/>
  <c r="S271" i="13"/>
  <c r="S162" i="13"/>
  <c r="U141" i="13"/>
  <c r="U166" i="13"/>
  <c r="U181" i="13"/>
  <c r="U230" i="13"/>
  <c r="U240" i="13"/>
  <c r="Y144" i="13"/>
  <c r="T158" i="13"/>
  <c r="T170" i="13"/>
  <c r="T176" i="13"/>
  <c r="T186" i="13"/>
  <c r="T193" i="13"/>
  <c r="T197" i="13"/>
  <c r="T211" i="13"/>
  <c r="T223" i="13"/>
  <c r="T250" i="13"/>
  <c r="T271" i="13"/>
  <c r="T273" i="13" s="1"/>
  <c r="X144" i="13"/>
  <c r="X197" i="13"/>
  <c r="X211" i="13"/>
  <c r="X223" i="13"/>
  <c r="X230" i="13"/>
  <c r="X240" i="13"/>
  <c r="X267" i="13"/>
  <c r="S197" i="13"/>
  <c r="S170" i="13"/>
  <c r="U144" i="13"/>
  <c r="U237" i="13"/>
  <c r="U255" i="13"/>
  <c r="U258" i="13"/>
  <c r="U273" i="13"/>
  <c r="T141" i="13"/>
  <c r="T148" i="13"/>
  <c r="T166" i="13"/>
  <c r="T181" i="13"/>
  <c r="T230" i="13"/>
  <c r="T240" i="13"/>
  <c r="T262" i="13"/>
  <c r="X162" i="13"/>
  <c r="X258" i="13"/>
  <c r="U170" i="13"/>
  <c r="R230" i="13"/>
  <c r="V170" i="13"/>
  <c r="V176" i="13"/>
  <c r="V186" i="13"/>
  <c r="V193" i="13"/>
  <c r="V197" i="13"/>
  <c r="W215" i="13"/>
  <c r="R250" i="13"/>
  <c r="R262" i="13"/>
  <c r="R271" i="13"/>
  <c r="R273" i="13" s="1"/>
  <c r="V223" i="13"/>
  <c r="V262" i="13"/>
  <c r="W148" i="13"/>
  <c r="W207" i="13"/>
  <c r="W240" i="13"/>
  <c r="W242" i="13" s="1"/>
  <c r="W262" i="13"/>
  <c r="Y141" i="13"/>
  <c r="Y166" i="13"/>
  <c r="Y181" i="13"/>
  <c r="R267" i="13"/>
  <c r="T267" i="13"/>
  <c r="T305" i="13"/>
  <c r="S273" i="13"/>
  <c r="U275" i="13"/>
  <c r="W307" i="13"/>
  <c r="Y307" i="13"/>
  <c r="R162" i="13"/>
  <c r="R223" i="13"/>
  <c r="R211" i="13"/>
  <c r="T207" i="13"/>
  <c r="V158" i="13"/>
  <c r="V207" i="13"/>
  <c r="X255" i="13"/>
  <c r="X271" i="13"/>
  <c r="X273" i="13" s="1"/>
  <c r="S258" i="13"/>
  <c r="S255" i="13"/>
  <c r="S237" i="13"/>
  <c r="S219" i="13"/>
  <c r="S215" i="13"/>
  <c r="S207" i="13"/>
  <c r="S181" i="13"/>
  <c r="S166" i="13"/>
  <c r="S148" i="13"/>
  <c r="S141" i="13"/>
  <c r="U158" i="13"/>
  <c r="U176" i="13"/>
  <c r="U186" i="13"/>
  <c r="U193" i="13"/>
  <c r="U197" i="13"/>
  <c r="U211" i="13"/>
  <c r="U223" i="13"/>
  <c r="U250" i="13"/>
  <c r="W162" i="13"/>
  <c r="W219" i="13"/>
  <c r="Y158" i="13"/>
  <c r="R305" i="13"/>
  <c r="R307" i="13"/>
  <c r="T227" i="13"/>
  <c r="T275" i="13"/>
  <c r="V267" i="13"/>
  <c r="V305" i="13"/>
  <c r="S305" i="13"/>
  <c r="W267" i="13"/>
  <c r="W305" i="13"/>
  <c r="Y267" i="13"/>
  <c r="Y305" i="13"/>
  <c r="S250" i="13"/>
  <c r="R227" i="13"/>
  <c r="AN260" i="13"/>
  <c r="X262" i="13"/>
  <c r="S267" i="13"/>
  <c r="W227" i="13"/>
  <c r="R186" i="13"/>
  <c r="R176" i="13"/>
  <c r="R170" i="13"/>
  <c r="R158" i="13"/>
  <c r="R219" i="13"/>
  <c r="R215" i="13"/>
  <c r="R207" i="13"/>
  <c r="R193" i="13"/>
  <c r="T144" i="13"/>
  <c r="T237" i="13"/>
  <c r="T255" i="13"/>
  <c r="T258" i="13"/>
  <c r="BM127" i="13"/>
  <c r="BM136" i="13"/>
  <c r="V162" i="13"/>
  <c r="V250" i="13"/>
  <c r="V271" i="13"/>
  <c r="V273" i="13" s="1"/>
  <c r="X158" i="13"/>
  <c r="X170" i="13"/>
  <c r="X176" i="13"/>
  <c r="X186" i="13"/>
  <c r="X193" i="13"/>
  <c r="X207" i="13"/>
  <c r="S262" i="13"/>
  <c r="S240" i="13"/>
  <c r="S230" i="13"/>
  <c r="S223" i="13"/>
  <c r="S211" i="13"/>
  <c r="S144" i="13"/>
  <c r="U162" i="13"/>
  <c r="U215" i="13"/>
  <c r="U219" i="13"/>
  <c r="W158" i="13"/>
  <c r="W170" i="13"/>
  <c r="W176" i="13"/>
  <c r="W186" i="13"/>
  <c r="W193" i="13"/>
  <c r="W197" i="13"/>
  <c r="W211" i="13"/>
  <c r="W223" i="13"/>
  <c r="W250" i="13"/>
  <c r="W271" i="13"/>
  <c r="W273" i="13" s="1"/>
  <c r="Y162" i="13"/>
  <c r="Y215" i="13"/>
  <c r="Y250" i="13"/>
  <c r="Y271" i="13"/>
  <c r="Y273" i="13" s="1"/>
  <c r="U267" i="13"/>
  <c r="U305" i="13"/>
  <c r="R181" i="13"/>
  <c r="R166" i="13"/>
  <c r="R148" i="13"/>
  <c r="R141" i="13"/>
  <c r="R237" i="13"/>
  <c r="R258" i="13"/>
  <c r="R255" i="13"/>
  <c r="T215" i="13"/>
  <c r="V148" i="13"/>
  <c r="V215" i="13"/>
  <c r="V255" i="13"/>
  <c r="X305" i="13"/>
  <c r="S193" i="13"/>
  <c r="S186" i="13"/>
  <c r="S176" i="13"/>
  <c r="S158" i="13"/>
  <c r="U148" i="13"/>
  <c r="U207" i="13"/>
  <c r="U262" i="13"/>
  <c r="W255" i="13"/>
  <c r="Y148" i="13"/>
  <c r="Y207" i="13"/>
  <c r="Y219" i="13"/>
  <c r="Y237" i="13"/>
  <c r="Y242" i="13" s="1"/>
  <c r="Y255" i="13"/>
  <c r="Y258" i="13"/>
  <c r="BL115" i="13"/>
  <c r="BL101" i="13"/>
  <c r="BL103" i="13" s="1"/>
  <c r="BL107" i="13"/>
  <c r="BL109" i="13" s="1"/>
  <c r="BM101" i="13"/>
  <c r="BM103" i="13" s="1"/>
  <c r="BL125" i="13"/>
  <c r="BL127" i="13" s="1"/>
  <c r="BL134" i="13"/>
  <c r="BL136" i="13" s="1"/>
  <c r="BM93" i="13"/>
  <c r="BM95" i="13" s="1"/>
  <c r="BM98" i="13"/>
  <c r="BM100" i="13" s="1"/>
  <c r="BM104" i="13"/>
  <c r="BM106" i="13" s="1"/>
  <c r="BM110" i="13"/>
  <c r="BM112" i="13" s="1"/>
  <c r="BM107" i="13"/>
  <c r="BM109" i="13" s="1"/>
  <c r="BM113" i="13"/>
  <c r="BM115" i="13" s="1"/>
  <c r="BL93" i="13"/>
  <c r="BL95" i="13" s="1"/>
  <c r="BL98" i="13"/>
  <c r="BL100" i="13" s="1"/>
  <c r="BL104" i="13"/>
  <c r="BL106" i="13" s="1"/>
  <c r="BL119" i="13"/>
  <c r="BL124" i="13"/>
  <c r="BL112" i="13"/>
  <c r="BM119" i="13"/>
  <c r="BM124" i="13"/>
  <c r="R242" i="13" l="1"/>
  <c r="BE181" i="13"/>
  <c r="T225" i="13"/>
  <c r="BC242" i="13"/>
  <c r="BC273" i="13"/>
  <c r="BC176" i="13"/>
  <c r="BD176" i="13"/>
  <c r="AZ207" i="13"/>
  <c r="BE255" i="13"/>
  <c r="BF148" i="13"/>
  <c r="BB273" i="13"/>
  <c r="BA148" i="13"/>
  <c r="BD144" i="13"/>
  <c r="BB242" i="13"/>
  <c r="BB207" i="13"/>
  <c r="BE305" i="13"/>
  <c r="BA273" i="13"/>
  <c r="AZ305" i="13"/>
  <c r="W264" i="13"/>
  <c r="BG305" i="13"/>
  <c r="BE250" i="13"/>
  <c r="BC305" i="13"/>
  <c r="BD305" i="13"/>
  <c r="BD250" i="13"/>
  <c r="BB305" i="13"/>
  <c r="X242" i="13"/>
  <c r="BA305" i="13"/>
  <c r="BF225" i="13"/>
  <c r="BG193" i="13"/>
  <c r="BE148" i="13"/>
  <c r="BA158" i="13"/>
  <c r="BA193" i="13"/>
  <c r="BA225" i="13" s="1"/>
  <c r="AZ176" i="13"/>
  <c r="AZ242" i="13"/>
  <c r="T242" i="13"/>
  <c r="BG255" i="13"/>
  <c r="BG250" i="13"/>
  <c r="BG148" i="13"/>
  <c r="BE158" i="13"/>
  <c r="BC207" i="13"/>
  <c r="BC193" i="13"/>
  <c r="BC158" i="13"/>
  <c r="BC187" i="13" s="1"/>
  <c r="BA262" i="13"/>
  <c r="BF158" i="13"/>
  <c r="BF141" i="13"/>
  <c r="BD255" i="13"/>
  <c r="BD215" i="13"/>
  <c r="BD207" i="13"/>
  <c r="BD193" i="13"/>
  <c r="BB219" i="13"/>
  <c r="BB158" i="13"/>
  <c r="AZ186" i="13"/>
  <c r="AZ187" i="13" s="1"/>
  <c r="V225" i="13"/>
  <c r="U242" i="13"/>
  <c r="BA207" i="13"/>
  <c r="AZ250" i="13"/>
  <c r="S264" i="13"/>
  <c r="R225" i="13"/>
  <c r="BG273" i="13"/>
  <c r="BG215" i="13"/>
  <c r="BG225" i="13" s="1"/>
  <c r="BG207" i="13"/>
  <c r="BG158" i="13"/>
  <c r="BC255" i="13"/>
  <c r="BC250" i="13"/>
  <c r="BC223" i="13"/>
  <c r="BA250" i="13"/>
  <c r="BD158" i="13"/>
  <c r="BB255" i="13"/>
  <c r="BB250" i="13"/>
  <c r="BB223" i="13"/>
  <c r="BB225" i="13" s="1"/>
  <c r="BB186" i="13"/>
  <c r="BB148" i="13"/>
  <c r="AZ262" i="13"/>
  <c r="AZ215" i="13"/>
  <c r="AZ158" i="13"/>
  <c r="BA255" i="13"/>
  <c r="BA264" i="13" s="1"/>
  <c r="BE225" i="13"/>
  <c r="BA242" i="13"/>
  <c r="S242" i="13"/>
  <c r="T187" i="13"/>
  <c r="AN262" i="13"/>
  <c r="AN264" i="13" s="1"/>
  <c r="BF260" i="13"/>
  <c r="BF262" i="13" s="1"/>
  <c r="BF264" i="13" s="1"/>
  <c r="BG262" i="13"/>
  <c r="BG240" i="13"/>
  <c r="BG230" i="13"/>
  <c r="BE144" i="13"/>
  <c r="BE187" i="13" s="1"/>
  <c r="BD258" i="13"/>
  <c r="BD237" i="13"/>
  <c r="BD242" i="13" s="1"/>
  <c r="BD166" i="13"/>
  <c r="BD141" i="13"/>
  <c r="R264" i="13"/>
  <c r="X264" i="13"/>
  <c r="BG187" i="13"/>
  <c r="BE258" i="13"/>
  <c r="BE264" i="13" s="1"/>
  <c r="BE237" i="13"/>
  <c r="BE242" i="13" s="1"/>
  <c r="BD219" i="13"/>
  <c r="BD181" i="13"/>
  <c r="S225" i="13"/>
  <c r="V264" i="13"/>
  <c r="W225" i="13"/>
  <c r="W187" i="13"/>
  <c r="X187" i="13"/>
  <c r="Y225" i="13"/>
  <c r="X225" i="13"/>
  <c r="Y187" i="13"/>
  <c r="T264" i="13"/>
  <c r="U225" i="13"/>
  <c r="Y264" i="13"/>
  <c r="V187" i="13"/>
  <c r="U187" i="13"/>
  <c r="S187" i="13"/>
  <c r="R187" i="13"/>
  <c r="U264" i="13"/>
  <c r="BM137" i="13"/>
  <c r="BL137" i="13"/>
  <c r="S91" i="13"/>
  <c r="T91" i="13"/>
  <c r="R91" i="13"/>
  <c r="BL139" i="13"/>
  <c r="BL141" i="13"/>
  <c r="BM139" i="13"/>
  <c r="BM141" i="13"/>
  <c r="BM145" i="13"/>
  <c r="BM142" i="13"/>
  <c r="BM144" i="13"/>
  <c r="BL145" i="13"/>
  <c r="BL142" i="13"/>
  <c r="BL144" i="13"/>
  <c r="BD225" i="13" l="1"/>
  <c r="BC264" i="13"/>
  <c r="BA187" i="13"/>
  <c r="AZ225" i="13"/>
  <c r="AZ264" i="13"/>
  <c r="BB264" i="13"/>
  <c r="BF187" i="13"/>
  <c r="BD264" i="13"/>
  <c r="BG264" i="13"/>
  <c r="BC225" i="13"/>
  <c r="BG242" i="13"/>
  <c r="BB187" i="13"/>
  <c r="BD187" i="13"/>
  <c r="R308" i="13"/>
  <c r="R315" i="13" s="1"/>
  <c r="X308" i="13"/>
  <c r="W308" i="13"/>
  <c r="V308" i="13"/>
  <c r="S308" i="13"/>
  <c r="S315" i="13" s="1"/>
  <c r="U308" i="13"/>
  <c r="BC308" i="13" s="1"/>
  <c r="T308" i="13"/>
  <c r="Y308" i="13"/>
  <c r="Q314" i="13"/>
  <c r="O314" i="13"/>
  <c r="M314" i="13"/>
  <c r="AO314" i="13" s="1"/>
  <c r="L314" i="13"/>
  <c r="J314" i="13"/>
  <c r="I314" i="13"/>
  <c r="G314" i="13"/>
  <c r="F314" i="13"/>
  <c r="D314" i="13"/>
  <c r="C314" i="13"/>
  <c r="P313" i="13"/>
  <c r="N313" i="13"/>
  <c r="K313" i="13"/>
  <c r="H313" i="13"/>
  <c r="E313" i="13"/>
  <c r="P312" i="13"/>
  <c r="N312" i="13"/>
  <c r="K312" i="13"/>
  <c r="H312" i="13"/>
  <c r="E312" i="13"/>
  <c r="P311" i="13"/>
  <c r="N311" i="13"/>
  <c r="K311" i="13"/>
  <c r="H311" i="13"/>
  <c r="E311" i="13"/>
  <c r="P310" i="13"/>
  <c r="N310" i="13"/>
  <c r="K310" i="13"/>
  <c r="H310" i="13"/>
  <c r="E310" i="13"/>
  <c r="M307" i="13"/>
  <c r="L307" i="13"/>
  <c r="J307" i="13"/>
  <c r="I307" i="13"/>
  <c r="G307" i="13"/>
  <c r="F307" i="13"/>
  <c r="D307" i="13"/>
  <c r="C307" i="13"/>
  <c r="P306" i="13"/>
  <c r="P307" i="13" s="1"/>
  <c r="O306" i="13"/>
  <c r="O307" i="13" s="1"/>
  <c r="N306" i="13"/>
  <c r="N307" i="13" s="1"/>
  <c r="K306" i="13"/>
  <c r="K307" i="13" s="1"/>
  <c r="H306" i="13"/>
  <c r="H307" i="13" s="1"/>
  <c r="E306" i="13"/>
  <c r="E307" i="13" s="1"/>
  <c r="M305" i="13"/>
  <c r="L305" i="13"/>
  <c r="J305" i="13"/>
  <c r="I305" i="13"/>
  <c r="G305" i="13"/>
  <c r="F305" i="13"/>
  <c r="D305" i="13"/>
  <c r="C305" i="13"/>
  <c r="P304" i="13"/>
  <c r="O304" i="13"/>
  <c r="N304" i="13"/>
  <c r="K304" i="13"/>
  <c r="H304" i="13"/>
  <c r="E304" i="13"/>
  <c r="P291" i="13"/>
  <c r="O291" i="13"/>
  <c r="N291" i="13"/>
  <c r="K291" i="13"/>
  <c r="H291" i="13"/>
  <c r="E291" i="13"/>
  <c r="P290" i="13"/>
  <c r="O290" i="13"/>
  <c r="N290" i="13"/>
  <c r="K290" i="13"/>
  <c r="H290" i="13"/>
  <c r="E290" i="13"/>
  <c r="P289" i="13"/>
  <c r="O289" i="13"/>
  <c r="N289" i="13"/>
  <c r="K289" i="13"/>
  <c r="H289" i="13"/>
  <c r="E289" i="13"/>
  <c r="P288" i="13"/>
  <c r="O288" i="13"/>
  <c r="N288" i="13"/>
  <c r="K288" i="13"/>
  <c r="H288" i="13"/>
  <c r="E288" i="13"/>
  <c r="P287" i="13"/>
  <c r="O287" i="13"/>
  <c r="N287" i="13"/>
  <c r="K287" i="13"/>
  <c r="H287" i="13"/>
  <c r="E287" i="13"/>
  <c r="P286" i="13"/>
  <c r="O286" i="13"/>
  <c r="N286" i="13"/>
  <c r="K286" i="13"/>
  <c r="H286" i="13"/>
  <c r="E286" i="13"/>
  <c r="P285" i="13"/>
  <c r="O285" i="13"/>
  <c r="N285" i="13"/>
  <c r="K285" i="13"/>
  <c r="H285" i="13"/>
  <c r="E285" i="13"/>
  <c r="P284" i="13"/>
  <c r="O284" i="13"/>
  <c r="N284" i="13"/>
  <c r="K284" i="13"/>
  <c r="H284" i="13"/>
  <c r="E284" i="13"/>
  <c r="P283" i="13"/>
  <c r="O283" i="13"/>
  <c r="N283" i="13"/>
  <c r="K283" i="13"/>
  <c r="H283" i="13"/>
  <c r="E283" i="13"/>
  <c r="P282" i="13"/>
  <c r="O282" i="13"/>
  <c r="N282" i="13"/>
  <c r="K282" i="13"/>
  <c r="H282" i="13"/>
  <c r="E282" i="13"/>
  <c r="P281" i="13"/>
  <c r="O281" i="13"/>
  <c r="N281" i="13"/>
  <c r="K281" i="13"/>
  <c r="H281" i="13"/>
  <c r="E281" i="13"/>
  <c r="P280" i="13"/>
  <c r="O280" i="13"/>
  <c r="N280" i="13"/>
  <c r="K280" i="13"/>
  <c r="H280" i="13"/>
  <c r="E280" i="13"/>
  <c r="P279" i="13"/>
  <c r="O279" i="13"/>
  <c r="N279" i="13"/>
  <c r="K279" i="13"/>
  <c r="H279" i="13"/>
  <c r="E279" i="13"/>
  <c r="P278" i="13"/>
  <c r="O278" i="13"/>
  <c r="N278" i="13"/>
  <c r="K278" i="13"/>
  <c r="H278" i="13"/>
  <c r="E278" i="13"/>
  <c r="P277" i="13"/>
  <c r="O277" i="13"/>
  <c r="N277" i="13"/>
  <c r="K277" i="13"/>
  <c r="H277" i="13"/>
  <c r="E277" i="13"/>
  <c r="P276" i="13"/>
  <c r="O276" i="13"/>
  <c r="N276" i="13"/>
  <c r="N305" i="13" s="1"/>
  <c r="K276" i="13"/>
  <c r="H276" i="13"/>
  <c r="E276" i="13"/>
  <c r="M275" i="13"/>
  <c r="L275" i="13"/>
  <c r="J275" i="13"/>
  <c r="I275" i="13"/>
  <c r="G275" i="13"/>
  <c r="F275" i="13"/>
  <c r="D275" i="13"/>
  <c r="C275" i="13"/>
  <c r="P274" i="13"/>
  <c r="P275" i="13" s="1"/>
  <c r="O274" i="13"/>
  <c r="O275" i="13" s="1"/>
  <c r="N274" i="13"/>
  <c r="N275" i="13" s="1"/>
  <c r="K274" i="13"/>
  <c r="K275" i="13" s="1"/>
  <c r="H274" i="13"/>
  <c r="H275" i="13" s="1"/>
  <c r="E274" i="13"/>
  <c r="E275" i="13" s="1"/>
  <c r="P272" i="13"/>
  <c r="O272" i="13"/>
  <c r="N272" i="13"/>
  <c r="K272" i="13"/>
  <c r="H272" i="13"/>
  <c r="E272" i="13"/>
  <c r="P270" i="13"/>
  <c r="O270" i="13"/>
  <c r="N270" i="13"/>
  <c r="K270" i="13"/>
  <c r="H270" i="13"/>
  <c r="E270" i="13"/>
  <c r="P269" i="13"/>
  <c r="O269" i="13"/>
  <c r="N269" i="13"/>
  <c r="K269" i="13"/>
  <c r="H269" i="13"/>
  <c r="E269" i="13"/>
  <c r="P268" i="13"/>
  <c r="N268" i="13"/>
  <c r="K268" i="13"/>
  <c r="H268" i="13"/>
  <c r="E268" i="13"/>
  <c r="M267" i="13"/>
  <c r="L267" i="13"/>
  <c r="J267" i="13"/>
  <c r="I267" i="13"/>
  <c r="G267" i="13"/>
  <c r="F267" i="13"/>
  <c r="D267" i="13"/>
  <c r="C267" i="13"/>
  <c r="P266" i="13"/>
  <c r="O266" i="13"/>
  <c r="N266" i="13"/>
  <c r="K266" i="13"/>
  <c r="H266" i="13"/>
  <c r="E266" i="13"/>
  <c r="P265" i="13"/>
  <c r="O265" i="13"/>
  <c r="N265" i="13"/>
  <c r="K265" i="13"/>
  <c r="H265" i="13"/>
  <c r="H267" i="13" s="1"/>
  <c r="E265" i="13"/>
  <c r="P263" i="13"/>
  <c r="O263" i="13"/>
  <c r="N263" i="13"/>
  <c r="K263" i="13"/>
  <c r="H263" i="13"/>
  <c r="E263" i="13"/>
  <c r="P261" i="13"/>
  <c r="O261" i="13"/>
  <c r="N261" i="13"/>
  <c r="K261" i="13"/>
  <c r="H261" i="13"/>
  <c r="E261" i="13"/>
  <c r="P260" i="13"/>
  <c r="O260" i="13"/>
  <c r="N260" i="13"/>
  <c r="K260" i="13"/>
  <c r="H260" i="13"/>
  <c r="E260" i="13"/>
  <c r="P259" i="13"/>
  <c r="O259" i="13"/>
  <c r="N259" i="13"/>
  <c r="K259" i="13"/>
  <c r="H259" i="13"/>
  <c r="E259" i="13"/>
  <c r="P257" i="13"/>
  <c r="O257" i="13"/>
  <c r="N257" i="13"/>
  <c r="K257" i="13"/>
  <c r="H257" i="13"/>
  <c r="E257" i="13"/>
  <c r="P256" i="13"/>
  <c r="O256" i="13"/>
  <c r="N256" i="13"/>
  <c r="K256" i="13"/>
  <c r="H256" i="13"/>
  <c r="E256" i="13"/>
  <c r="P254" i="13"/>
  <c r="O254" i="13"/>
  <c r="N254" i="13"/>
  <c r="K254" i="13"/>
  <c r="H254" i="13"/>
  <c r="E254" i="13"/>
  <c r="P253" i="13"/>
  <c r="O253" i="13"/>
  <c r="N253" i="13"/>
  <c r="K253" i="13"/>
  <c r="H253" i="13"/>
  <c r="E253" i="13"/>
  <c r="P252" i="13"/>
  <c r="O252" i="13"/>
  <c r="N252" i="13"/>
  <c r="K252" i="13"/>
  <c r="H252" i="13"/>
  <c r="E252" i="13"/>
  <c r="P251" i="13"/>
  <c r="O251" i="13"/>
  <c r="N251" i="13"/>
  <c r="K251" i="13"/>
  <c r="H251" i="13"/>
  <c r="E251" i="13"/>
  <c r="P249" i="13"/>
  <c r="O249" i="13"/>
  <c r="N249" i="13"/>
  <c r="K249" i="13"/>
  <c r="H249" i="13"/>
  <c r="E249" i="13"/>
  <c r="P248" i="13"/>
  <c r="O248" i="13"/>
  <c r="N248" i="13"/>
  <c r="K248" i="13"/>
  <c r="H248" i="13"/>
  <c r="E248" i="13"/>
  <c r="P247" i="13"/>
  <c r="O247" i="13"/>
  <c r="N247" i="13"/>
  <c r="K247" i="13"/>
  <c r="H247" i="13"/>
  <c r="E247" i="13"/>
  <c r="P246" i="13"/>
  <c r="O246" i="13"/>
  <c r="N246" i="13"/>
  <c r="K246" i="13"/>
  <c r="H246" i="13"/>
  <c r="E246" i="13"/>
  <c r="P245" i="13"/>
  <c r="O245" i="13"/>
  <c r="N245" i="13"/>
  <c r="K245" i="13"/>
  <c r="H245" i="13"/>
  <c r="E245" i="13"/>
  <c r="P244" i="13"/>
  <c r="O244" i="13"/>
  <c r="N244" i="13"/>
  <c r="K244" i="13"/>
  <c r="H244" i="13"/>
  <c r="E244" i="13"/>
  <c r="P243" i="13"/>
  <c r="O243" i="13"/>
  <c r="N243" i="13"/>
  <c r="K243" i="13"/>
  <c r="H243" i="13"/>
  <c r="H250" i="13" s="1"/>
  <c r="E243" i="13"/>
  <c r="E250" i="13" s="1"/>
  <c r="P241" i="13"/>
  <c r="O241" i="13"/>
  <c r="N241" i="13"/>
  <c r="K241" i="13"/>
  <c r="H241" i="13"/>
  <c r="E241" i="13"/>
  <c r="P239" i="13"/>
  <c r="O239" i="13"/>
  <c r="N239" i="13"/>
  <c r="K239" i="13"/>
  <c r="H239" i="13"/>
  <c r="E239" i="13"/>
  <c r="P238" i="13"/>
  <c r="O238" i="13"/>
  <c r="N238" i="13"/>
  <c r="K238" i="13"/>
  <c r="H238" i="13"/>
  <c r="E238" i="13"/>
  <c r="P236" i="13"/>
  <c r="O236" i="13"/>
  <c r="N236" i="13"/>
  <c r="K236" i="13"/>
  <c r="H236" i="13"/>
  <c r="E236" i="13"/>
  <c r="P235" i="13"/>
  <c r="O235" i="13"/>
  <c r="N235" i="13"/>
  <c r="K235" i="13"/>
  <c r="H235" i="13"/>
  <c r="E235" i="13"/>
  <c r="P234" i="13"/>
  <c r="O234" i="13"/>
  <c r="N234" i="13"/>
  <c r="K234" i="13"/>
  <c r="H234" i="13"/>
  <c r="E234" i="13"/>
  <c r="P233" i="13"/>
  <c r="O233" i="13"/>
  <c r="N233" i="13"/>
  <c r="K233" i="13"/>
  <c r="H233" i="13"/>
  <c r="E233" i="13"/>
  <c r="P232" i="13"/>
  <c r="O232" i="13"/>
  <c r="N232" i="13"/>
  <c r="K232" i="13"/>
  <c r="H232" i="13"/>
  <c r="E232" i="13"/>
  <c r="P231" i="13"/>
  <c r="O231" i="13"/>
  <c r="N231" i="13"/>
  <c r="K231" i="13"/>
  <c r="H231" i="13"/>
  <c r="E231" i="13"/>
  <c r="P229" i="13"/>
  <c r="O229" i="13"/>
  <c r="N229" i="13"/>
  <c r="K229" i="13"/>
  <c r="H229" i="13"/>
  <c r="E229" i="13"/>
  <c r="P228" i="13"/>
  <c r="O228" i="13"/>
  <c r="N228" i="13"/>
  <c r="K228" i="13"/>
  <c r="H228" i="13"/>
  <c r="E228" i="13"/>
  <c r="M227" i="13"/>
  <c r="L227" i="13"/>
  <c r="J227" i="13"/>
  <c r="I227" i="13"/>
  <c r="G227" i="13"/>
  <c r="F227" i="13"/>
  <c r="D227" i="13"/>
  <c r="C227" i="13"/>
  <c r="P226" i="13"/>
  <c r="P227" i="13" s="1"/>
  <c r="O226" i="13"/>
  <c r="O227" i="13" s="1"/>
  <c r="N226" i="13"/>
  <c r="N227" i="13" s="1"/>
  <c r="K226" i="13"/>
  <c r="K227" i="13" s="1"/>
  <c r="H226" i="13"/>
  <c r="H227" i="13" s="1"/>
  <c r="E226" i="13"/>
  <c r="E227" i="13" s="1"/>
  <c r="P224" i="13"/>
  <c r="O224" i="13"/>
  <c r="N224" i="13"/>
  <c r="K224" i="13"/>
  <c r="H224" i="13"/>
  <c r="E224" i="13"/>
  <c r="P222" i="13"/>
  <c r="O222" i="13"/>
  <c r="N222" i="13"/>
  <c r="K222" i="13"/>
  <c r="H222" i="13"/>
  <c r="E222" i="13"/>
  <c r="P221" i="13"/>
  <c r="O221" i="13"/>
  <c r="N221" i="13"/>
  <c r="K221" i="13"/>
  <c r="H221" i="13"/>
  <c r="E221" i="13"/>
  <c r="P220" i="13"/>
  <c r="O220" i="13"/>
  <c r="N220" i="13"/>
  <c r="K220" i="13"/>
  <c r="H220" i="13"/>
  <c r="E220" i="13"/>
  <c r="P218" i="13"/>
  <c r="O218" i="13"/>
  <c r="N218" i="13"/>
  <c r="K218" i="13"/>
  <c r="H218" i="13"/>
  <c r="E218" i="13"/>
  <c r="P217" i="13"/>
  <c r="O217" i="13"/>
  <c r="N217" i="13"/>
  <c r="K217" i="13"/>
  <c r="H217" i="13"/>
  <c r="E217" i="13"/>
  <c r="P216" i="13"/>
  <c r="O216" i="13"/>
  <c r="N216" i="13"/>
  <c r="K216" i="13"/>
  <c r="E216" i="13"/>
  <c r="P214" i="13"/>
  <c r="O214" i="13"/>
  <c r="N214" i="13"/>
  <c r="K214" i="13"/>
  <c r="H214" i="13"/>
  <c r="E214" i="13"/>
  <c r="P213" i="13"/>
  <c r="O213" i="13"/>
  <c r="N213" i="13"/>
  <c r="K213" i="13"/>
  <c r="H213" i="13"/>
  <c r="E213" i="13"/>
  <c r="P212" i="13"/>
  <c r="O212" i="13"/>
  <c r="N212" i="13"/>
  <c r="K212" i="13"/>
  <c r="H212" i="13"/>
  <c r="E212" i="13"/>
  <c r="P210" i="13"/>
  <c r="O210" i="13"/>
  <c r="N210" i="13"/>
  <c r="K210" i="13"/>
  <c r="H210" i="13"/>
  <c r="E210" i="13"/>
  <c r="P209" i="13"/>
  <c r="O209" i="13"/>
  <c r="N209" i="13"/>
  <c r="K209" i="13"/>
  <c r="H209" i="13"/>
  <c r="E209" i="13"/>
  <c r="P208" i="13"/>
  <c r="O208" i="13"/>
  <c r="N208" i="13"/>
  <c r="K208" i="13"/>
  <c r="H208" i="13"/>
  <c r="E208" i="13"/>
  <c r="P206" i="13"/>
  <c r="O206" i="13"/>
  <c r="N206" i="13"/>
  <c r="K206" i="13"/>
  <c r="E206" i="13"/>
  <c r="P205" i="13"/>
  <c r="O205" i="13"/>
  <c r="N205" i="13"/>
  <c r="K205" i="13"/>
  <c r="H205" i="13"/>
  <c r="E205" i="13"/>
  <c r="P204" i="13"/>
  <c r="O204" i="13"/>
  <c r="N204" i="13"/>
  <c r="K204" i="13"/>
  <c r="H204" i="13"/>
  <c r="E204" i="13"/>
  <c r="P203" i="13"/>
  <c r="O203" i="13"/>
  <c r="N203" i="13"/>
  <c r="K203" i="13"/>
  <c r="H203" i="13"/>
  <c r="E203" i="13"/>
  <c r="P202" i="13"/>
  <c r="O202" i="13"/>
  <c r="N202" i="13"/>
  <c r="K202" i="13"/>
  <c r="H202" i="13"/>
  <c r="E202" i="13"/>
  <c r="P201" i="13"/>
  <c r="O201" i="13"/>
  <c r="N201" i="13"/>
  <c r="K201" i="13"/>
  <c r="H201" i="13"/>
  <c r="H207" i="13" s="1"/>
  <c r="E201" i="13"/>
  <c r="E207" i="13" s="1"/>
  <c r="P200" i="13"/>
  <c r="O200" i="13"/>
  <c r="N200" i="13"/>
  <c r="K200" i="13"/>
  <c r="H200" i="13"/>
  <c r="E200" i="13"/>
  <c r="P199" i="13"/>
  <c r="O199" i="13"/>
  <c r="N199" i="13"/>
  <c r="K199" i="13"/>
  <c r="H199" i="13"/>
  <c r="E199" i="13"/>
  <c r="P198" i="13"/>
  <c r="O198" i="13"/>
  <c r="N198" i="13"/>
  <c r="K198" i="13"/>
  <c r="H198" i="13"/>
  <c r="E198" i="13"/>
  <c r="P196" i="13"/>
  <c r="O196" i="13"/>
  <c r="N196" i="13"/>
  <c r="K196" i="13"/>
  <c r="H196" i="13"/>
  <c r="E196" i="13"/>
  <c r="P195" i="13"/>
  <c r="O195" i="13"/>
  <c r="N195" i="13"/>
  <c r="K195" i="13"/>
  <c r="H195" i="13"/>
  <c r="E195" i="13"/>
  <c r="P194" i="13"/>
  <c r="O194" i="13"/>
  <c r="N194" i="13"/>
  <c r="K194" i="13"/>
  <c r="H194" i="13"/>
  <c r="E194" i="13"/>
  <c r="P192" i="13"/>
  <c r="O192" i="13"/>
  <c r="N192" i="13"/>
  <c r="K192" i="13"/>
  <c r="H192" i="13"/>
  <c r="E192" i="13"/>
  <c r="P191" i="13"/>
  <c r="O191" i="13"/>
  <c r="N191" i="13"/>
  <c r="K191" i="13"/>
  <c r="H191" i="13"/>
  <c r="E191" i="13"/>
  <c r="P190" i="13"/>
  <c r="O190" i="13"/>
  <c r="N190" i="13"/>
  <c r="K190" i="13"/>
  <c r="H190" i="13"/>
  <c r="E190" i="13"/>
  <c r="P188" i="13"/>
  <c r="P189" i="13" s="1"/>
  <c r="O188" i="13"/>
  <c r="O189" i="13" s="1"/>
  <c r="N188" i="13"/>
  <c r="N189" i="13" s="1"/>
  <c r="K188" i="13"/>
  <c r="K189" i="13" s="1"/>
  <c r="H188" i="13"/>
  <c r="H189" i="13" s="1"/>
  <c r="E188" i="13"/>
  <c r="E189" i="13" s="1"/>
  <c r="P185" i="13"/>
  <c r="O185" i="13"/>
  <c r="N185" i="13"/>
  <c r="K185" i="13"/>
  <c r="H185" i="13"/>
  <c r="E185" i="13"/>
  <c r="P184" i="13"/>
  <c r="O184" i="13"/>
  <c r="N184" i="13"/>
  <c r="K184" i="13"/>
  <c r="H184" i="13"/>
  <c r="E184" i="13"/>
  <c r="P183" i="13"/>
  <c r="O183" i="13"/>
  <c r="N183" i="13"/>
  <c r="K183" i="13"/>
  <c r="H183" i="13"/>
  <c r="E183" i="13"/>
  <c r="P182" i="13"/>
  <c r="O182" i="13"/>
  <c r="N182" i="13"/>
  <c r="K182" i="13"/>
  <c r="H182" i="13"/>
  <c r="E182" i="13"/>
  <c r="P180" i="13"/>
  <c r="O180" i="13"/>
  <c r="N180" i="13"/>
  <c r="K180" i="13"/>
  <c r="H180" i="13"/>
  <c r="E180" i="13"/>
  <c r="P179" i="13"/>
  <c r="O179" i="13"/>
  <c r="N179" i="13"/>
  <c r="K179" i="13"/>
  <c r="H179" i="13"/>
  <c r="E179" i="13"/>
  <c r="P178" i="13"/>
  <c r="O178" i="13"/>
  <c r="N178" i="13"/>
  <c r="K178" i="13"/>
  <c r="H178" i="13"/>
  <c r="E178" i="13"/>
  <c r="P177" i="13"/>
  <c r="O177" i="13"/>
  <c r="N177" i="13"/>
  <c r="K177" i="13"/>
  <c r="H177" i="13"/>
  <c r="E177" i="13"/>
  <c r="P175" i="13"/>
  <c r="O175" i="13"/>
  <c r="N175" i="13"/>
  <c r="K175" i="13"/>
  <c r="H175" i="13"/>
  <c r="E175" i="13"/>
  <c r="P174" i="13"/>
  <c r="O174" i="13"/>
  <c r="N174" i="13"/>
  <c r="K174" i="13"/>
  <c r="H174" i="13"/>
  <c r="E174" i="13"/>
  <c r="P173" i="13"/>
  <c r="O173" i="13"/>
  <c r="N173" i="13"/>
  <c r="K173" i="13"/>
  <c r="H173" i="13"/>
  <c r="E173" i="13"/>
  <c r="P172" i="13"/>
  <c r="O172" i="13"/>
  <c r="N172" i="13"/>
  <c r="K172" i="13"/>
  <c r="H172" i="13"/>
  <c r="E172" i="13"/>
  <c r="P171" i="13"/>
  <c r="O171" i="13"/>
  <c r="N171" i="13"/>
  <c r="K171" i="13"/>
  <c r="H171" i="13"/>
  <c r="E171" i="13"/>
  <c r="P169" i="13"/>
  <c r="O169" i="13"/>
  <c r="N169" i="13"/>
  <c r="K169" i="13"/>
  <c r="H169" i="13"/>
  <c r="E169" i="13"/>
  <c r="P168" i="13"/>
  <c r="O168" i="13"/>
  <c r="N168" i="13"/>
  <c r="K168" i="13"/>
  <c r="H168" i="13"/>
  <c r="E168" i="13"/>
  <c r="P167" i="13"/>
  <c r="O167" i="13"/>
  <c r="N167" i="13"/>
  <c r="K167" i="13"/>
  <c r="H167" i="13"/>
  <c r="E167" i="13"/>
  <c r="P165" i="13"/>
  <c r="O165" i="13"/>
  <c r="N165" i="13"/>
  <c r="K165" i="13"/>
  <c r="H165" i="13"/>
  <c r="E165" i="13"/>
  <c r="P164" i="13"/>
  <c r="O164" i="13"/>
  <c r="N164" i="13"/>
  <c r="K164" i="13"/>
  <c r="H164" i="13"/>
  <c r="E164" i="13"/>
  <c r="P163" i="13"/>
  <c r="O163" i="13"/>
  <c r="N163" i="13"/>
  <c r="K163" i="13"/>
  <c r="H163" i="13"/>
  <c r="E163" i="13"/>
  <c r="P161" i="13"/>
  <c r="O161" i="13"/>
  <c r="N161" i="13"/>
  <c r="K161" i="13"/>
  <c r="H161" i="13"/>
  <c r="E161" i="13"/>
  <c r="P160" i="13"/>
  <c r="O160" i="13"/>
  <c r="N160" i="13"/>
  <c r="K160" i="13"/>
  <c r="H160" i="13"/>
  <c r="E160" i="13"/>
  <c r="P159" i="13"/>
  <c r="O159" i="13"/>
  <c r="N159" i="13"/>
  <c r="K159" i="13"/>
  <c r="H159" i="13"/>
  <c r="E159" i="13"/>
  <c r="P157" i="13"/>
  <c r="O157" i="13"/>
  <c r="N157" i="13"/>
  <c r="K157" i="13"/>
  <c r="H157" i="13"/>
  <c r="E157" i="13"/>
  <c r="P156" i="13"/>
  <c r="O156" i="13"/>
  <c r="N156" i="13"/>
  <c r="K156" i="13"/>
  <c r="H156" i="13"/>
  <c r="E156" i="13"/>
  <c r="P155" i="13"/>
  <c r="O155" i="13"/>
  <c r="N155" i="13"/>
  <c r="K155" i="13"/>
  <c r="H155" i="13"/>
  <c r="E155" i="13"/>
  <c r="P154" i="13"/>
  <c r="O154" i="13"/>
  <c r="N154" i="13"/>
  <c r="K154" i="13"/>
  <c r="H154" i="13"/>
  <c r="E154" i="13"/>
  <c r="P153" i="13"/>
  <c r="O153" i="13"/>
  <c r="N153" i="13"/>
  <c r="K153" i="13"/>
  <c r="H153" i="13"/>
  <c r="E153" i="13"/>
  <c r="P152" i="13"/>
  <c r="O152" i="13"/>
  <c r="N152" i="13"/>
  <c r="K152" i="13"/>
  <c r="H152" i="13"/>
  <c r="E152" i="13"/>
  <c r="P151" i="13"/>
  <c r="O151" i="13"/>
  <c r="N151" i="13"/>
  <c r="K151" i="13"/>
  <c r="H151" i="13"/>
  <c r="E151" i="13"/>
  <c r="P150" i="13"/>
  <c r="O150" i="13"/>
  <c r="N150" i="13"/>
  <c r="K150" i="13"/>
  <c r="H150" i="13"/>
  <c r="E150" i="13"/>
  <c r="P149" i="13"/>
  <c r="O149" i="13"/>
  <c r="N149" i="13"/>
  <c r="K149" i="13"/>
  <c r="H149" i="13"/>
  <c r="H158" i="13" s="1"/>
  <c r="E149" i="13"/>
  <c r="E158" i="13" s="1"/>
  <c r="P147" i="13"/>
  <c r="O147" i="13"/>
  <c r="N147" i="13"/>
  <c r="K147" i="13"/>
  <c r="H147" i="13"/>
  <c r="E147" i="13"/>
  <c r="P146" i="13"/>
  <c r="O146" i="13"/>
  <c r="N146" i="13"/>
  <c r="K146" i="13"/>
  <c r="H146" i="13"/>
  <c r="E146" i="13"/>
  <c r="P145" i="13"/>
  <c r="O145" i="13"/>
  <c r="N145" i="13"/>
  <c r="K145" i="13"/>
  <c r="H145" i="13"/>
  <c r="E145" i="13"/>
  <c r="P143" i="13"/>
  <c r="O143" i="13"/>
  <c r="N143" i="13"/>
  <c r="K143" i="13"/>
  <c r="H143" i="13"/>
  <c r="E143" i="13"/>
  <c r="P142" i="13"/>
  <c r="O142" i="13"/>
  <c r="N142" i="13"/>
  <c r="K142" i="13"/>
  <c r="H142" i="13"/>
  <c r="E142" i="13"/>
  <c r="P140" i="13"/>
  <c r="O140" i="13"/>
  <c r="N140" i="13"/>
  <c r="K140" i="13"/>
  <c r="H140" i="13"/>
  <c r="E140" i="13"/>
  <c r="P139" i="13"/>
  <c r="O139" i="13"/>
  <c r="N139" i="13"/>
  <c r="K139" i="13"/>
  <c r="H139" i="13"/>
  <c r="E139" i="13"/>
  <c r="P138" i="13"/>
  <c r="O138" i="13"/>
  <c r="N138" i="13"/>
  <c r="K138" i="13"/>
  <c r="H138" i="13"/>
  <c r="E138" i="13"/>
  <c r="P135" i="13"/>
  <c r="O135" i="13"/>
  <c r="N135" i="13"/>
  <c r="K135" i="13"/>
  <c r="H135" i="13"/>
  <c r="E135" i="13"/>
  <c r="P134" i="13"/>
  <c r="O134" i="13"/>
  <c r="N134" i="13"/>
  <c r="K134" i="13"/>
  <c r="H134" i="13"/>
  <c r="E134" i="13"/>
  <c r="P133" i="13"/>
  <c r="O133" i="13"/>
  <c r="N133" i="13"/>
  <c r="K133" i="13"/>
  <c r="H133" i="13"/>
  <c r="E133" i="13"/>
  <c r="P132" i="13"/>
  <c r="O132" i="13"/>
  <c r="N132" i="13"/>
  <c r="K132" i="13"/>
  <c r="H132" i="13"/>
  <c r="E132" i="13"/>
  <c r="P131" i="13"/>
  <c r="O131" i="13"/>
  <c r="N131" i="13"/>
  <c r="K131" i="13"/>
  <c r="H131" i="13"/>
  <c r="E131" i="13"/>
  <c r="P130" i="13"/>
  <c r="O130" i="13"/>
  <c r="N130" i="13"/>
  <c r="K130" i="13"/>
  <c r="H130" i="13"/>
  <c r="E130" i="13"/>
  <c r="P129" i="13"/>
  <c r="O129" i="13"/>
  <c r="N129" i="13"/>
  <c r="K129" i="13"/>
  <c r="H129" i="13"/>
  <c r="E129" i="13"/>
  <c r="P128" i="13"/>
  <c r="O128" i="13"/>
  <c r="N128" i="13"/>
  <c r="K128" i="13"/>
  <c r="H128" i="13"/>
  <c r="E128" i="13"/>
  <c r="P126" i="13"/>
  <c r="O126" i="13"/>
  <c r="N126" i="13"/>
  <c r="K126" i="13"/>
  <c r="H126" i="13"/>
  <c r="E126" i="13"/>
  <c r="P125" i="13"/>
  <c r="O125" i="13"/>
  <c r="N125" i="13"/>
  <c r="K125" i="13"/>
  <c r="H125" i="13"/>
  <c r="E125" i="13"/>
  <c r="P123" i="13"/>
  <c r="O123" i="13"/>
  <c r="N123" i="13"/>
  <c r="K123" i="13"/>
  <c r="H123" i="13"/>
  <c r="E123" i="13"/>
  <c r="P122" i="13"/>
  <c r="O122" i="13"/>
  <c r="N122" i="13"/>
  <c r="K122" i="13"/>
  <c r="H122" i="13"/>
  <c r="E122" i="13"/>
  <c r="P121" i="13"/>
  <c r="O121" i="13"/>
  <c r="N121" i="13"/>
  <c r="K121" i="13"/>
  <c r="H121" i="13"/>
  <c r="E121" i="13"/>
  <c r="P120" i="13"/>
  <c r="O120" i="13"/>
  <c r="N120" i="13"/>
  <c r="K120" i="13"/>
  <c r="H120" i="13"/>
  <c r="E120" i="13"/>
  <c r="P118" i="13"/>
  <c r="O118" i="13"/>
  <c r="N118" i="13"/>
  <c r="K118" i="13"/>
  <c r="H118" i="13"/>
  <c r="E118" i="13"/>
  <c r="P117" i="13"/>
  <c r="O117" i="13"/>
  <c r="N117" i="13"/>
  <c r="K117" i="13"/>
  <c r="H117" i="13"/>
  <c r="E117" i="13"/>
  <c r="P116" i="13"/>
  <c r="O116" i="13"/>
  <c r="N116" i="13"/>
  <c r="K116" i="13"/>
  <c r="H116" i="13"/>
  <c r="E116" i="13"/>
  <c r="P114" i="13"/>
  <c r="O114" i="13"/>
  <c r="N114" i="13"/>
  <c r="K114" i="13"/>
  <c r="H114" i="13"/>
  <c r="E114" i="13"/>
  <c r="P113" i="13"/>
  <c r="O113" i="13"/>
  <c r="N113" i="13"/>
  <c r="K113" i="13"/>
  <c r="H113" i="13"/>
  <c r="E113" i="13"/>
  <c r="P111" i="13"/>
  <c r="O111" i="13"/>
  <c r="N111" i="13"/>
  <c r="K111" i="13"/>
  <c r="H111" i="13"/>
  <c r="E111" i="13"/>
  <c r="P110" i="13"/>
  <c r="O110" i="13"/>
  <c r="N110" i="13"/>
  <c r="K110" i="13"/>
  <c r="H110" i="13"/>
  <c r="E110" i="13"/>
  <c r="P108" i="13"/>
  <c r="O108" i="13"/>
  <c r="N108" i="13"/>
  <c r="K108" i="13"/>
  <c r="H108" i="13"/>
  <c r="E108" i="13"/>
  <c r="P107" i="13"/>
  <c r="O107" i="13"/>
  <c r="N107" i="13"/>
  <c r="K107" i="13"/>
  <c r="H107" i="13"/>
  <c r="E107" i="13"/>
  <c r="P105" i="13"/>
  <c r="O105" i="13"/>
  <c r="N105" i="13"/>
  <c r="K105" i="13"/>
  <c r="H105" i="13"/>
  <c r="E105" i="13"/>
  <c r="P104" i="13"/>
  <c r="O104" i="13"/>
  <c r="N104" i="13"/>
  <c r="K104" i="13"/>
  <c r="H104" i="13"/>
  <c r="E104" i="13"/>
  <c r="P102" i="13"/>
  <c r="O102" i="13"/>
  <c r="N102" i="13"/>
  <c r="K102" i="13"/>
  <c r="H102" i="13"/>
  <c r="E102" i="13"/>
  <c r="P101" i="13"/>
  <c r="O101" i="13"/>
  <c r="N101" i="13"/>
  <c r="K101" i="13"/>
  <c r="H101" i="13"/>
  <c r="E101" i="13"/>
  <c r="P99" i="13"/>
  <c r="O99" i="13"/>
  <c r="N99" i="13"/>
  <c r="K99" i="13"/>
  <c r="H99" i="13"/>
  <c r="E99" i="13"/>
  <c r="P98" i="13"/>
  <c r="O98" i="13"/>
  <c r="N98" i="13"/>
  <c r="K98" i="13"/>
  <c r="H98" i="13"/>
  <c r="E98" i="13"/>
  <c r="P97" i="13"/>
  <c r="O97" i="13"/>
  <c r="N97" i="13"/>
  <c r="K97" i="13"/>
  <c r="H97" i="13"/>
  <c r="E97" i="13"/>
  <c r="P96" i="13"/>
  <c r="O96" i="13"/>
  <c r="N96" i="13"/>
  <c r="K96" i="13"/>
  <c r="H96" i="13"/>
  <c r="E96" i="13"/>
  <c r="P94" i="13"/>
  <c r="O94" i="13"/>
  <c r="N94" i="13"/>
  <c r="K94" i="13"/>
  <c r="H94" i="13"/>
  <c r="E94" i="13"/>
  <c r="P93" i="13"/>
  <c r="O93" i="13"/>
  <c r="N93" i="13"/>
  <c r="K93" i="13"/>
  <c r="H93" i="13"/>
  <c r="E93" i="13"/>
  <c r="P92" i="13"/>
  <c r="O92" i="13"/>
  <c r="N92" i="13"/>
  <c r="K92" i="13"/>
  <c r="H92" i="13"/>
  <c r="E92" i="13"/>
  <c r="P90" i="13"/>
  <c r="O90" i="13"/>
  <c r="N90" i="13"/>
  <c r="P89" i="13"/>
  <c r="O89" i="13"/>
  <c r="N89" i="13"/>
  <c r="P88" i="13"/>
  <c r="O88" i="13"/>
  <c r="N88" i="13"/>
  <c r="P86" i="13"/>
  <c r="O86" i="13"/>
  <c r="N86" i="13"/>
  <c r="P85" i="13"/>
  <c r="O85" i="13"/>
  <c r="N85" i="13"/>
  <c r="P83" i="13"/>
  <c r="O83" i="13"/>
  <c r="N83" i="13"/>
  <c r="P82" i="13"/>
  <c r="O82" i="13"/>
  <c r="N82" i="13"/>
  <c r="P80" i="13"/>
  <c r="O80" i="13"/>
  <c r="N80" i="13"/>
  <c r="P79" i="13"/>
  <c r="O79" i="13"/>
  <c r="N79" i="13"/>
  <c r="P78" i="13"/>
  <c r="O78" i="13"/>
  <c r="N78" i="13"/>
  <c r="P76" i="13"/>
  <c r="O76" i="13"/>
  <c r="N76" i="13"/>
  <c r="P75" i="13"/>
  <c r="O75" i="13"/>
  <c r="N75" i="13"/>
  <c r="P74" i="13"/>
  <c r="O74" i="13"/>
  <c r="N74" i="13"/>
  <c r="P72" i="13"/>
  <c r="O72" i="13"/>
  <c r="N72" i="13"/>
  <c r="P71" i="13"/>
  <c r="O71" i="13"/>
  <c r="N71" i="13"/>
  <c r="P69" i="13"/>
  <c r="O69" i="13"/>
  <c r="N69" i="13"/>
  <c r="P68" i="13"/>
  <c r="O68" i="13"/>
  <c r="N68" i="13"/>
  <c r="P66" i="13"/>
  <c r="O66" i="13"/>
  <c r="N66" i="13"/>
  <c r="P65" i="13"/>
  <c r="O65" i="13"/>
  <c r="N65" i="13"/>
  <c r="P63" i="13"/>
  <c r="O63" i="13"/>
  <c r="N63" i="13"/>
  <c r="P62" i="13"/>
  <c r="O62" i="13"/>
  <c r="N62" i="13"/>
  <c r="P60" i="13"/>
  <c r="O60" i="13"/>
  <c r="N60" i="13"/>
  <c r="P59" i="13"/>
  <c r="O59" i="13"/>
  <c r="N59" i="13"/>
  <c r="P56" i="13"/>
  <c r="O56" i="13"/>
  <c r="N56" i="13"/>
  <c r="P55" i="13"/>
  <c r="O55" i="13"/>
  <c r="N55" i="13"/>
  <c r="P53" i="13"/>
  <c r="O53" i="13"/>
  <c r="N53" i="13"/>
  <c r="P52" i="13"/>
  <c r="O52" i="13"/>
  <c r="N52" i="13"/>
  <c r="P50" i="13"/>
  <c r="O50" i="13"/>
  <c r="N50" i="13"/>
  <c r="P49" i="13"/>
  <c r="O49" i="13"/>
  <c r="N49" i="13"/>
  <c r="P48" i="13"/>
  <c r="O48" i="13"/>
  <c r="N48" i="13"/>
  <c r="E48" i="13"/>
  <c r="E51" i="13" s="1"/>
  <c r="P47" i="13"/>
  <c r="O47" i="13"/>
  <c r="N47" i="13"/>
  <c r="E47" i="13"/>
  <c r="P46" i="13"/>
  <c r="O46" i="13"/>
  <c r="N46" i="13"/>
  <c r="E46" i="13"/>
  <c r="P44" i="13"/>
  <c r="O44" i="13"/>
  <c r="N44" i="13"/>
  <c r="E44" i="13"/>
  <c r="P43" i="13"/>
  <c r="O43" i="13"/>
  <c r="N43" i="13"/>
  <c r="E43" i="13"/>
  <c r="P42" i="13"/>
  <c r="O42" i="13"/>
  <c r="O45" i="13" s="1"/>
  <c r="N42" i="13"/>
  <c r="N45" i="13" s="1"/>
  <c r="E42" i="13"/>
  <c r="E45" i="13" s="1"/>
  <c r="P40" i="13"/>
  <c r="O40" i="13"/>
  <c r="N40" i="13"/>
  <c r="E40" i="13"/>
  <c r="P39" i="13"/>
  <c r="O39" i="13"/>
  <c r="O41" i="13" s="1"/>
  <c r="N39" i="13"/>
  <c r="N41" i="13" s="1"/>
  <c r="E39" i="13"/>
  <c r="E41" i="13" s="1"/>
  <c r="P37" i="13"/>
  <c r="O37" i="13"/>
  <c r="N37" i="13"/>
  <c r="E37" i="13"/>
  <c r="P36" i="13"/>
  <c r="P38" i="13" s="1"/>
  <c r="O36" i="13"/>
  <c r="N36" i="13"/>
  <c r="N38" i="13" s="1"/>
  <c r="E36" i="13"/>
  <c r="E38" i="13" s="1"/>
  <c r="P34" i="13"/>
  <c r="O34" i="13"/>
  <c r="N34" i="13"/>
  <c r="P33" i="13"/>
  <c r="O33" i="13"/>
  <c r="N33" i="13"/>
  <c r="P32" i="13"/>
  <c r="O32" i="13"/>
  <c r="N32" i="13"/>
  <c r="P30" i="13"/>
  <c r="O30" i="13"/>
  <c r="N30" i="13"/>
  <c r="P29" i="13"/>
  <c r="O29" i="13"/>
  <c r="N29" i="13"/>
  <c r="P28" i="13"/>
  <c r="O28" i="13"/>
  <c r="N28" i="13"/>
  <c r="K28" i="13"/>
  <c r="H28" i="13"/>
  <c r="E28" i="13"/>
  <c r="P26" i="13"/>
  <c r="O26" i="13"/>
  <c r="N26" i="13"/>
  <c r="E26" i="13"/>
  <c r="P25" i="13"/>
  <c r="O25" i="13"/>
  <c r="N25" i="13"/>
  <c r="E25" i="13"/>
  <c r="P24" i="13"/>
  <c r="O24" i="13"/>
  <c r="N24" i="13"/>
  <c r="E24" i="13"/>
  <c r="P23" i="13"/>
  <c r="O23" i="13"/>
  <c r="N23" i="13"/>
  <c r="E23" i="13"/>
  <c r="P22" i="13"/>
  <c r="O22" i="13"/>
  <c r="N22" i="13"/>
  <c r="E22" i="13"/>
  <c r="P21" i="13"/>
  <c r="O21" i="13"/>
  <c r="N21" i="13"/>
  <c r="E21" i="13"/>
  <c r="P20" i="13"/>
  <c r="P27" i="13" s="1"/>
  <c r="O20" i="13"/>
  <c r="O27" i="13" s="1"/>
  <c r="N20" i="13"/>
  <c r="N27" i="13" s="1"/>
  <c r="P18" i="13"/>
  <c r="O18" i="13"/>
  <c r="N18" i="13"/>
  <c r="E18" i="13"/>
  <c r="P17" i="13"/>
  <c r="O17" i="13"/>
  <c r="O19" i="13" s="1"/>
  <c r="N17" i="13"/>
  <c r="N19" i="13" s="1"/>
  <c r="E17" i="13"/>
  <c r="E19" i="13" s="1"/>
  <c r="P15" i="13"/>
  <c r="O15" i="13"/>
  <c r="N15" i="13"/>
  <c r="E15" i="13"/>
  <c r="P14" i="13"/>
  <c r="P16" i="13" s="1"/>
  <c r="O14" i="13"/>
  <c r="O16" i="13" s="1"/>
  <c r="N14" i="13"/>
  <c r="N16" i="13" s="1"/>
  <c r="E14" i="13"/>
  <c r="E16" i="13" s="1"/>
  <c r="P12" i="13"/>
  <c r="O12" i="13"/>
  <c r="N12" i="13"/>
  <c r="E12" i="13"/>
  <c r="P11" i="13"/>
  <c r="P13" i="13" s="1"/>
  <c r="O11" i="13"/>
  <c r="O13" i="13" s="1"/>
  <c r="N11" i="13"/>
  <c r="N13" i="13" s="1"/>
  <c r="E11" i="13"/>
  <c r="E13" i="13" s="1"/>
  <c r="P9" i="13"/>
  <c r="O9" i="13"/>
  <c r="N9" i="13"/>
  <c r="K9" i="13"/>
  <c r="H9" i="13"/>
  <c r="E9" i="13"/>
  <c r="P8" i="13"/>
  <c r="O8" i="13"/>
  <c r="N8" i="13"/>
  <c r="K8" i="13"/>
  <c r="H8" i="13"/>
  <c r="E8" i="13"/>
  <c r="O70" i="13" l="1"/>
  <c r="O87" i="13"/>
  <c r="O64" i="13"/>
  <c r="P70" i="13"/>
  <c r="N73" i="13"/>
  <c r="P77" i="13"/>
  <c r="O81" i="13"/>
  <c r="N84" i="13"/>
  <c r="P87" i="13"/>
  <c r="P95" i="13"/>
  <c r="P100" i="13"/>
  <c r="P103" i="13"/>
  <c r="P106" i="13"/>
  <c r="P109" i="13"/>
  <c r="P112" i="13"/>
  <c r="P115" i="13"/>
  <c r="N119" i="13"/>
  <c r="N124" i="13"/>
  <c r="N127" i="13"/>
  <c r="N136" i="13"/>
  <c r="P141" i="13"/>
  <c r="P144" i="13"/>
  <c r="P148" i="13"/>
  <c r="N158" i="13"/>
  <c r="N162" i="13"/>
  <c r="P166" i="13"/>
  <c r="N170" i="13"/>
  <c r="N176" i="13"/>
  <c r="P181" i="13"/>
  <c r="N186" i="13"/>
  <c r="N193" i="13"/>
  <c r="N197" i="13"/>
  <c r="N31" i="13"/>
  <c r="O58" i="13"/>
  <c r="K10" i="13"/>
  <c r="O38" i="13"/>
  <c r="O31" i="13"/>
  <c r="N54" i="13"/>
  <c r="P58" i="13"/>
  <c r="N61" i="13"/>
  <c r="P64" i="13"/>
  <c r="N67" i="13"/>
  <c r="O211" i="13"/>
  <c r="O215" i="13"/>
  <c r="P219" i="13"/>
  <c r="P223" i="13"/>
  <c r="N230" i="13"/>
  <c r="N237" i="13"/>
  <c r="N242" i="13" s="1"/>
  <c r="N240" i="13"/>
  <c r="P250" i="13"/>
  <c r="N255" i="13"/>
  <c r="N258" i="13"/>
  <c r="N262" i="13"/>
  <c r="P271" i="13"/>
  <c r="N10" i="13"/>
  <c r="P31" i="13"/>
  <c r="N35" i="13"/>
  <c r="P51" i="13"/>
  <c r="O54" i="13"/>
  <c r="O61" i="13"/>
  <c r="O67" i="13"/>
  <c r="O73" i="13"/>
  <c r="P81" i="13"/>
  <c r="O84" i="13"/>
  <c r="K95" i="13"/>
  <c r="K100" i="13"/>
  <c r="K103" i="13"/>
  <c r="K106" i="13"/>
  <c r="K109" i="13"/>
  <c r="K112" i="13"/>
  <c r="K115" i="13"/>
  <c r="E119" i="13"/>
  <c r="O119" i="13"/>
  <c r="E124" i="13"/>
  <c r="O124" i="13"/>
  <c r="E127" i="13"/>
  <c r="O127" i="13"/>
  <c r="E136" i="13"/>
  <c r="O136" i="13"/>
  <c r="K141" i="13"/>
  <c r="K144" i="13"/>
  <c r="K148" i="13"/>
  <c r="O158" i="13"/>
  <c r="E162" i="13"/>
  <c r="O162" i="13"/>
  <c r="K166" i="13"/>
  <c r="E170" i="13"/>
  <c r="O170" i="13"/>
  <c r="E176" i="13"/>
  <c r="O176" i="13"/>
  <c r="K181" i="13"/>
  <c r="E186" i="13"/>
  <c r="O186" i="13"/>
  <c r="E193" i="13"/>
  <c r="O193" i="13"/>
  <c r="E197" i="13"/>
  <c r="O197" i="13"/>
  <c r="K207" i="13"/>
  <c r="H211" i="13"/>
  <c r="P211" i="13"/>
  <c r="H215" i="13"/>
  <c r="P215" i="13"/>
  <c r="K219" i="13"/>
  <c r="K223" i="13"/>
  <c r="E230" i="13"/>
  <c r="O230" i="13"/>
  <c r="E237" i="13"/>
  <c r="O237" i="13"/>
  <c r="O242" i="13" s="1"/>
  <c r="E240" i="13"/>
  <c r="O240" i="13"/>
  <c r="K250" i="13"/>
  <c r="E255" i="13"/>
  <c r="O255" i="13"/>
  <c r="E258" i="13"/>
  <c r="O258" i="13"/>
  <c r="E262" i="13"/>
  <c r="E264" i="13" s="1"/>
  <c r="P45" i="13"/>
  <c r="P19" i="13"/>
  <c r="P41" i="13"/>
  <c r="H10" i="13"/>
  <c r="P10" i="13"/>
  <c r="P35" i="13"/>
  <c r="N51" i="13"/>
  <c r="O77" i="13"/>
  <c r="N81" i="13"/>
  <c r="E10" i="13"/>
  <c r="O10" i="13"/>
  <c r="O35" i="13"/>
  <c r="O51" i="13"/>
  <c r="P54" i="13"/>
  <c r="N58" i="13"/>
  <c r="P61" i="13"/>
  <c r="N64" i="13"/>
  <c r="P67" i="13"/>
  <c r="N70" i="13"/>
  <c r="P73" i="13"/>
  <c r="N77" i="13"/>
  <c r="P84" i="13"/>
  <c r="N87" i="13"/>
  <c r="O262" i="13"/>
  <c r="N267" i="13"/>
  <c r="K271" i="13"/>
  <c r="P207" i="13"/>
  <c r="P267" i="13"/>
  <c r="O271" i="13"/>
  <c r="O273" i="13" s="1"/>
  <c r="P305" i="13"/>
  <c r="O305" i="13"/>
  <c r="O95" i="13"/>
  <c r="O100" i="13"/>
  <c r="O103" i="13"/>
  <c r="O106" i="13"/>
  <c r="O109" i="13"/>
  <c r="O112" i="13"/>
  <c r="O115" i="13"/>
  <c r="O141" i="13"/>
  <c r="O144" i="13"/>
  <c r="O148" i="13"/>
  <c r="O166" i="13"/>
  <c r="O181" i="13"/>
  <c r="O207" i="13"/>
  <c r="N211" i="13"/>
  <c r="N215" i="13"/>
  <c r="O219" i="13"/>
  <c r="O223" i="13"/>
  <c r="O250" i="13"/>
  <c r="N95" i="13"/>
  <c r="N100" i="13"/>
  <c r="N103" i="13"/>
  <c r="N106" i="13"/>
  <c r="N109" i="13"/>
  <c r="N112" i="13"/>
  <c r="N115" i="13"/>
  <c r="P119" i="13"/>
  <c r="P124" i="13"/>
  <c r="P127" i="13"/>
  <c r="P136" i="13"/>
  <c r="N141" i="13"/>
  <c r="N144" i="13"/>
  <c r="N148" i="13"/>
  <c r="P158" i="13"/>
  <c r="P162" i="13"/>
  <c r="N166" i="13"/>
  <c r="P170" i="13"/>
  <c r="P176" i="13"/>
  <c r="N181" i="13"/>
  <c r="P186" i="13"/>
  <c r="P193" i="13"/>
  <c r="P197" i="13"/>
  <c r="N207" i="13"/>
  <c r="N219" i="13"/>
  <c r="N223" i="13"/>
  <c r="P230" i="13"/>
  <c r="P237" i="13"/>
  <c r="P240" i="13"/>
  <c r="N250" i="13"/>
  <c r="P255" i="13"/>
  <c r="P258" i="13"/>
  <c r="P262" i="13"/>
  <c r="O267" i="13"/>
  <c r="P273" i="13"/>
  <c r="N271" i="13"/>
  <c r="N273" i="13" s="1"/>
  <c r="W315" i="13"/>
  <c r="V315" i="13"/>
  <c r="H95" i="13"/>
  <c r="H100" i="13"/>
  <c r="H103" i="13"/>
  <c r="H106" i="13"/>
  <c r="H109" i="13"/>
  <c r="H112" i="13"/>
  <c r="H115" i="13"/>
  <c r="E211" i="13"/>
  <c r="E215" i="13"/>
  <c r="H219" i="13"/>
  <c r="H223" i="13"/>
  <c r="H271" i="13"/>
  <c r="H273" i="13" s="1"/>
  <c r="X315" i="13"/>
  <c r="H162" i="13"/>
  <c r="H170" i="13"/>
  <c r="H176" i="13"/>
  <c r="H186" i="13"/>
  <c r="H255" i="13"/>
  <c r="H258" i="13"/>
  <c r="H262" i="13"/>
  <c r="E95" i="13"/>
  <c r="E100" i="13"/>
  <c r="E103" i="13"/>
  <c r="E106" i="13"/>
  <c r="E109" i="13"/>
  <c r="E112" i="13"/>
  <c r="E115" i="13"/>
  <c r="K119" i="13"/>
  <c r="K124" i="13"/>
  <c r="K127" i="13"/>
  <c r="K136" i="13"/>
  <c r="H141" i="13"/>
  <c r="H144" i="13"/>
  <c r="H148" i="13"/>
  <c r="H166" i="13"/>
  <c r="H181" i="13"/>
  <c r="K193" i="13"/>
  <c r="K197" i="13"/>
  <c r="E219" i="13"/>
  <c r="E223" i="13"/>
  <c r="K230" i="13"/>
  <c r="K237" i="13"/>
  <c r="K240" i="13"/>
  <c r="K273" i="13"/>
  <c r="H119" i="13"/>
  <c r="H124" i="13"/>
  <c r="H127" i="13"/>
  <c r="H136" i="13"/>
  <c r="E141" i="13"/>
  <c r="E144" i="13"/>
  <c r="E148" i="13"/>
  <c r="K158" i="13"/>
  <c r="K162" i="13"/>
  <c r="E166" i="13"/>
  <c r="K170" i="13"/>
  <c r="K176" i="13"/>
  <c r="E181" i="13"/>
  <c r="K186" i="13"/>
  <c r="H193" i="13"/>
  <c r="H197" i="13"/>
  <c r="K211" i="13"/>
  <c r="K215" i="13"/>
  <c r="H230" i="13"/>
  <c r="H237" i="13"/>
  <c r="H240" i="13"/>
  <c r="K255" i="13"/>
  <c r="K258" i="13"/>
  <c r="K262" i="13"/>
  <c r="E271" i="13"/>
  <c r="E273" i="13" s="1"/>
  <c r="E242" i="13"/>
  <c r="T315" i="13"/>
  <c r="U315" i="13"/>
  <c r="Y315" i="13"/>
  <c r="Q69" i="13"/>
  <c r="K267" i="13"/>
  <c r="Q130" i="13"/>
  <c r="Q249" i="13"/>
  <c r="Q285" i="13"/>
  <c r="Q152" i="13"/>
  <c r="Q206" i="13"/>
  <c r="Q195" i="13"/>
  <c r="Q18" i="13"/>
  <c r="Q251" i="13"/>
  <c r="Q33" i="13"/>
  <c r="Q46" i="13"/>
  <c r="Q107" i="13"/>
  <c r="Q122" i="13"/>
  <c r="Q125" i="13"/>
  <c r="Q138" i="13"/>
  <c r="Q139" i="13"/>
  <c r="E314" i="13"/>
  <c r="P314" i="13"/>
  <c r="Q105" i="13"/>
  <c r="Q153" i="13"/>
  <c r="Q281" i="13"/>
  <c r="Q304" i="13"/>
  <c r="Q97" i="13"/>
  <c r="Q114" i="13"/>
  <c r="Q286" i="13"/>
  <c r="Q282" i="13"/>
  <c r="Q261" i="13"/>
  <c r="Q246" i="13"/>
  <c r="Q224" i="13"/>
  <c r="Q221" i="13"/>
  <c r="Q212" i="13"/>
  <c r="Q209" i="13"/>
  <c r="Q199" i="13"/>
  <c r="Q196" i="13"/>
  <c r="E267" i="13"/>
  <c r="Q85" i="13"/>
  <c r="Q78" i="13"/>
  <c r="Q76" i="13"/>
  <c r="Q63" i="13"/>
  <c r="Q48" i="13"/>
  <c r="Q47" i="13"/>
  <c r="Q30" i="13"/>
  <c r="Q21" i="13"/>
  <c r="Q20" i="13"/>
  <c r="Q79" i="13"/>
  <c r="Q169" i="13"/>
  <c r="Q210" i="13"/>
  <c r="Q254" i="13"/>
  <c r="E305" i="13"/>
  <c r="Q53" i="13"/>
  <c r="Q248" i="13"/>
  <c r="Q265" i="13"/>
  <c r="Q288" i="13"/>
  <c r="Q108" i="13"/>
  <c r="Q194" i="13"/>
  <c r="Q287" i="13"/>
  <c r="H314" i="13"/>
  <c r="Q34" i="13"/>
  <c r="Q37" i="13"/>
  <c r="Q123" i="13"/>
  <c r="Q234" i="13"/>
  <c r="Q247" i="13"/>
  <c r="K314" i="13"/>
  <c r="Q208" i="13"/>
  <c r="Q263" i="13"/>
  <c r="N314" i="13"/>
  <c r="Q24" i="13"/>
  <c r="Q135" i="13"/>
  <c r="Q274" i="13"/>
  <c r="Q275" i="13" s="1"/>
  <c r="Q90" i="13"/>
  <c r="Q121" i="13"/>
  <c r="Q276" i="13"/>
  <c r="Q284" i="13"/>
  <c r="Q62" i="13"/>
  <c r="Q104" i="13"/>
  <c r="Q106" i="13" s="1"/>
  <c r="Q198" i="13"/>
  <c r="Q222" i="13"/>
  <c r="Q306" i="13"/>
  <c r="Q307" i="13" s="1"/>
  <c r="Q32" i="13"/>
  <c r="Q44" i="13"/>
  <c r="Q283" i="13"/>
  <c r="Q154" i="13"/>
  <c r="Q202" i="13"/>
  <c r="Q266" i="13"/>
  <c r="Q289" i="13"/>
  <c r="Q17" i="13"/>
  <c r="Q19" i="13" s="1"/>
  <c r="Q15" i="13"/>
  <c r="J308" i="13"/>
  <c r="J315" i="13" s="1"/>
  <c r="Q14" i="13"/>
  <c r="L308" i="13"/>
  <c r="L315" i="13" s="1"/>
  <c r="Q238" i="13"/>
  <c r="Q236" i="13"/>
  <c r="Q235" i="13"/>
  <c r="Q233" i="13"/>
  <c r="I308" i="13"/>
  <c r="I315" i="13" s="1"/>
  <c r="Q184" i="13"/>
  <c r="Q183" i="13"/>
  <c r="Q182" i="13"/>
  <c r="Q180" i="13"/>
  <c r="Q179" i="13"/>
  <c r="Q173" i="13"/>
  <c r="G308" i="13"/>
  <c r="G315" i="13" s="1"/>
  <c r="Q168" i="13"/>
  <c r="Q167" i="13"/>
  <c r="Q165" i="13"/>
  <c r="Q164" i="13"/>
  <c r="F308" i="13"/>
  <c r="Q151" i="13"/>
  <c r="Q150" i="13"/>
  <c r="M308" i="13"/>
  <c r="AO308" i="13" s="1"/>
  <c r="Q11" i="13"/>
  <c r="Q75" i="13"/>
  <c r="Q120" i="13"/>
  <c r="Q245" i="13"/>
  <c r="Q60" i="13"/>
  <c r="Q43" i="13"/>
  <c r="Q102" i="13"/>
  <c r="Q133" i="13"/>
  <c r="Q191" i="13"/>
  <c r="Q260" i="13"/>
  <c r="H305" i="13"/>
  <c r="Q163" i="13"/>
  <c r="K305" i="13"/>
  <c r="Q12" i="13"/>
  <c r="Q29" i="13"/>
  <c r="Q59" i="13"/>
  <c r="Q74" i="13"/>
  <c r="Q118" i="13"/>
  <c r="Q178" i="13"/>
  <c r="Q205" i="13"/>
  <c r="Q244" i="13"/>
  <c r="Q280" i="13"/>
  <c r="Q89" i="13"/>
  <c r="Q88" i="13"/>
  <c r="Q149" i="13"/>
  <c r="Q42" i="13"/>
  <c r="Q45" i="13" s="1"/>
  <c r="Q101" i="13"/>
  <c r="Q103" i="13" s="1"/>
  <c r="Q259" i="13"/>
  <c r="Q147" i="13"/>
  <c r="Q161" i="13"/>
  <c r="C308" i="13"/>
  <c r="Q232" i="13"/>
  <c r="Q272" i="13"/>
  <c r="Q28" i="13"/>
  <c r="Q177" i="13"/>
  <c r="D308" i="13"/>
  <c r="Q220" i="13"/>
  <c r="Q231" i="13"/>
  <c r="Q218" i="13"/>
  <c r="Q134" i="13"/>
  <c r="Q192" i="13"/>
  <c r="Q9" i="13"/>
  <c r="Q26" i="13"/>
  <c r="Q40" i="13"/>
  <c r="Q56" i="13"/>
  <c r="Q72" i="13"/>
  <c r="Q99" i="13"/>
  <c r="Q117" i="13"/>
  <c r="Q132" i="13"/>
  <c r="Q146" i="13"/>
  <c r="Q160" i="13"/>
  <c r="Q175" i="13"/>
  <c r="Q190" i="13"/>
  <c r="Q204" i="13"/>
  <c r="Q217" i="13"/>
  <c r="Q219" i="13" s="1"/>
  <c r="Q229" i="13"/>
  <c r="Q243" i="13"/>
  <c r="Q257" i="13"/>
  <c r="Q270" i="13"/>
  <c r="Q279" i="13"/>
  <c r="Q291" i="13"/>
  <c r="Q8" i="13"/>
  <c r="Q10" i="13" s="1"/>
  <c r="Q25" i="13"/>
  <c r="Q39" i="13"/>
  <c r="Q41" i="13" s="1"/>
  <c r="Q55" i="13"/>
  <c r="Q58" i="13" s="1"/>
  <c r="Q71" i="13"/>
  <c r="Q73" i="13" s="1"/>
  <c r="Q86" i="13"/>
  <c r="Q98" i="13"/>
  <c r="Q116" i="13"/>
  <c r="Q131" i="13"/>
  <c r="Q145" i="13"/>
  <c r="Q159" i="13"/>
  <c r="Q174" i="13"/>
  <c r="Q188" i="13"/>
  <c r="Q189" i="13" s="1"/>
  <c r="Q203" i="13"/>
  <c r="Q216" i="13"/>
  <c r="Q228" i="13"/>
  <c r="Q256" i="13"/>
  <c r="Q258" i="13" s="1"/>
  <c r="Q269" i="13"/>
  <c r="Q271" i="13" s="1"/>
  <c r="Q278" i="13"/>
  <c r="Q290" i="13"/>
  <c r="Q143" i="13"/>
  <c r="Q157" i="13"/>
  <c r="Q268" i="13"/>
  <c r="Q277" i="13"/>
  <c r="Q23" i="13"/>
  <c r="Q36" i="13"/>
  <c r="Q38" i="13" s="1"/>
  <c r="Q52" i="13"/>
  <c r="Q54" i="13" s="1"/>
  <c r="Q68" i="13"/>
  <c r="Q70" i="13" s="1"/>
  <c r="Q83" i="13"/>
  <c r="Q96" i="13"/>
  <c r="Q113" i="13"/>
  <c r="Q115" i="13" s="1"/>
  <c r="Q129" i="13"/>
  <c r="Q142" i="13"/>
  <c r="Q144" i="13" s="1"/>
  <c r="Q156" i="13"/>
  <c r="Q172" i="13"/>
  <c r="Q201" i="13"/>
  <c r="Q214" i="13"/>
  <c r="Q241" i="13"/>
  <c r="Q253" i="13"/>
  <c r="Q22" i="13"/>
  <c r="Q50" i="13"/>
  <c r="Q66" i="13"/>
  <c r="Q82" i="13"/>
  <c r="Q84" i="13" s="1"/>
  <c r="Q94" i="13"/>
  <c r="Q111" i="13"/>
  <c r="Q128" i="13"/>
  <c r="Q140" i="13"/>
  <c r="Q155" i="13"/>
  <c r="Q171" i="13"/>
  <c r="Q185" i="13"/>
  <c r="Q200" i="13"/>
  <c r="Q213" i="13"/>
  <c r="Q226" i="13"/>
  <c r="Q227" i="13" s="1"/>
  <c r="Q239" i="13"/>
  <c r="Q252" i="13"/>
  <c r="Q49" i="13"/>
  <c r="Q65" i="13"/>
  <c r="Q80" i="13"/>
  <c r="Q93" i="13"/>
  <c r="Q110" i="13"/>
  <c r="Q126" i="13"/>
  <c r="E20" i="13"/>
  <c r="E27" i="13" s="1"/>
  <c r="Q92" i="13"/>
  <c r="Q13" i="13" l="1"/>
  <c r="Q166" i="13"/>
  <c r="O264" i="13"/>
  <c r="Q31" i="13"/>
  <c r="Q67" i="13"/>
  <c r="Q223" i="13"/>
  <c r="Q77" i="13"/>
  <c r="Q35" i="13"/>
  <c r="N264" i="13"/>
  <c r="P225" i="13"/>
  <c r="Q27" i="13"/>
  <c r="Q51" i="13"/>
  <c r="Q87" i="13"/>
  <c r="Q16" i="13"/>
  <c r="Q81" i="13"/>
  <c r="Q61" i="13"/>
  <c r="Q64" i="13"/>
  <c r="Q162" i="13"/>
  <c r="Q262" i="13"/>
  <c r="P242" i="13"/>
  <c r="O225" i="13"/>
  <c r="Q148" i="13"/>
  <c r="Q136" i="13"/>
  <c r="N187" i="13"/>
  <c r="N137" i="13"/>
  <c r="Q95" i="13"/>
  <c r="Q119" i="13"/>
  <c r="Q170" i="13"/>
  <c r="Q237" i="13"/>
  <c r="Q197" i="13"/>
  <c r="O137" i="13"/>
  <c r="Q267" i="13"/>
  <c r="Q211" i="13"/>
  <c r="Q109" i="13"/>
  <c r="P264" i="13"/>
  <c r="N225" i="13"/>
  <c r="O187" i="13"/>
  <c r="Q112" i="13"/>
  <c r="Q207" i="13"/>
  <c r="Q230" i="13"/>
  <c r="Q305" i="13"/>
  <c r="Q250" i="13"/>
  <c r="Q193" i="13"/>
  <c r="Q181" i="13"/>
  <c r="Q127" i="13"/>
  <c r="Q176" i="13"/>
  <c r="Q186" i="13"/>
  <c r="Q215" i="13"/>
  <c r="P137" i="13"/>
  <c r="Q141" i="13"/>
  <c r="Q273" i="13"/>
  <c r="Q100" i="13"/>
  <c r="Q158" i="13"/>
  <c r="Q240" i="13"/>
  <c r="Q124" i="13"/>
  <c r="Q255" i="13"/>
  <c r="H264" i="13"/>
  <c r="P187" i="13"/>
  <c r="H242" i="13"/>
  <c r="E187" i="13"/>
  <c r="H187" i="13"/>
  <c r="N91" i="13"/>
  <c r="O91" i="13"/>
  <c r="H225" i="13"/>
  <c r="E225" i="13"/>
  <c r="E137" i="13"/>
  <c r="P91" i="13"/>
  <c r="K225" i="13"/>
  <c r="H137" i="13"/>
  <c r="K91" i="13"/>
  <c r="K264" i="13"/>
  <c r="H91" i="13"/>
  <c r="E91" i="13"/>
  <c r="K242" i="13"/>
  <c r="K137" i="13"/>
  <c r="K187" i="13"/>
  <c r="M315" i="13"/>
  <c r="AO315" i="13" s="1"/>
  <c r="AG308" i="13"/>
  <c r="F315" i="13"/>
  <c r="AB308" i="13"/>
  <c r="D315" i="13"/>
  <c r="AA308" i="13"/>
  <c r="C315" i="13"/>
  <c r="Z308" i="13"/>
  <c r="Q137" i="13" l="1"/>
  <c r="Q225" i="13"/>
  <c r="P308" i="13"/>
  <c r="P315" i="13" s="1"/>
  <c r="Q264" i="13"/>
  <c r="Q242" i="13"/>
  <c r="Q187" i="13"/>
  <c r="N308" i="13"/>
  <c r="N315" i="13" s="1"/>
  <c r="Q91" i="13"/>
  <c r="O308" i="13"/>
  <c r="O315" i="13" s="1"/>
  <c r="H308" i="13"/>
  <c r="H315" i="13" s="1"/>
  <c r="K308" i="13"/>
  <c r="K315" i="13" s="1"/>
  <c r="E308" i="13"/>
  <c r="E315" i="13" s="1"/>
  <c r="Q308" i="13" l="1"/>
  <c r="Q315" i="13" s="1"/>
</calcChain>
</file>

<file path=xl/sharedStrings.xml><?xml version="1.0" encoding="utf-8"?>
<sst xmlns="http://schemas.openxmlformats.org/spreadsheetml/2006/main" count="472" uniqueCount="282">
  <si>
    <t>Sl.No.</t>
  </si>
  <si>
    <t>Grant in Aid component</t>
  </si>
  <si>
    <t xml:space="preserve">Capital </t>
  </si>
  <si>
    <t xml:space="preserve">Total </t>
  </si>
  <si>
    <t>TSP</t>
  </si>
  <si>
    <t>NEH</t>
  </si>
  <si>
    <t xml:space="preserve">Grand Total </t>
  </si>
  <si>
    <t>Other than NEH &amp; TSP</t>
  </si>
  <si>
    <t>Name of the Unit/AICRP/Nwtwork Project/ATARI etc.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</si>
  <si>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</si>
  <si>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</si>
  <si>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</si>
  <si>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</si>
  <si>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</si>
  <si>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</si>
  <si>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</si>
  <si>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</si>
  <si>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</si>
  <si>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</si>
  <si>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</si>
  <si>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</si>
  <si>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</si>
  <si>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</si>
  <si>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</si>
  <si>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</si>
  <si>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</si>
  <si>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</si>
  <si>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</si>
  <si>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</si>
  <si>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</si>
  <si>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</si>
  <si>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</si>
  <si>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</si>
  <si>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</si>
  <si>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</si>
  <si>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</si>
  <si>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DGR, Junagadh</t>
  </si>
  <si>
    <t>AICRP on Groudnut, DGR, Junagadh</t>
  </si>
  <si>
    <t>NRC Plant Biotechnology, New Delhi</t>
  </si>
  <si>
    <t>DR &amp; MR, Bharatpur</t>
  </si>
  <si>
    <t>AICRP on R&amp;M, DR &amp; MR, Bharatpur</t>
  </si>
  <si>
    <t>IIMR, Hyderabad</t>
  </si>
  <si>
    <t>DSR, Indore</t>
  </si>
  <si>
    <t xml:space="preserve">AICRP on Soyabean, Indore </t>
  </si>
  <si>
    <t>NBAIR, Bengaluru</t>
  </si>
  <si>
    <t>AICRP on Biological Control, NBAIR, Benglaluru</t>
  </si>
  <si>
    <t>AICRP On Maize, IIMR, New Delhi</t>
  </si>
  <si>
    <t>IIOR, Hyderabad</t>
  </si>
  <si>
    <t>AICRP on Sesame &amp; Niger, IIOR, Hyderabad</t>
  </si>
  <si>
    <t>IIRR,  Hyderabad</t>
  </si>
  <si>
    <t>AICRP on Rice, IIRR, Hyderabad</t>
  </si>
  <si>
    <t>CRP on  Rice Biofortification, IIRR, Hyderabad</t>
  </si>
  <si>
    <t>IIWBR,  Karnal</t>
  </si>
  <si>
    <t>AICRP on Wheat &amp; Barley, IIWBR, Karnal</t>
  </si>
  <si>
    <t>IISS, Maunath Bhanjan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</si>
  <si>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</si>
  <si>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</si>
  <si>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</si>
  <si>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</si>
  <si>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</si>
  <si>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</si>
  <si>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</si>
  <si>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</si>
  <si>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</si>
  <si>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</si>
  <si>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</si>
  <si>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</si>
  <si>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</si>
  <si>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</si>
  <si>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</si>
  <si>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</si>
  <si>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</si>
  <si>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</si>
  <si>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</si>
  <si>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</si>
  <si>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</si>
  <si>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</si>
  <si>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</si>
  <si>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</si>
  <si>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</si>
  <si>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</si>
  <si>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</si>
  <si>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</si>
  <si>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</si>
  <si>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</si>
  <si>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</si>
  <si>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</si>
  <si>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</si>
  <si>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</si>
  <si>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</si>
  <si>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</si>
  <si>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</si>
  <si>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</si>
  <si>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</si>
  <si>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</si>
  <si>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</si>
  <si>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</si>
  <si>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</si>
  <si>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</si>
  <si>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</si>
  <si>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</si>
  <si>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</si>
  <si>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</si>
  <si>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</si>
  <si>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</si>
  <si>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</si>
  <si>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</si>
  <si>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</si>
  <si>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</si>
  <si>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</si>
  <si>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</si>
  <si>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</si>
  <si>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</si>
  <si>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</si>
  <si>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</si>
  <si>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</si>
  <si>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</si>
  <si>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</si>
  <si>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</si>
  <si>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</si>
  <si>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</si>
  <si>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</si>
  <si>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</si>
  <si>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</si>
  <si>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</si>
  <si>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</si>
  <si>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</si>
  <si>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</si>
  <si>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</si>
  <si>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</si>
  <si>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</si>
  <si>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</si>
  <si>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</si>
  <si>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</si>
  <si>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</si>
  <si>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</si>
  <si>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</si>
  <si>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</si>
  <si>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</si>
  <si>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</si>
  <si>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</si>
  <si>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</si>
  <si>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</si>
  <si>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</si>
  <si>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</si>
  <si>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</si>
  <si>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</si>
  <si>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</si>
  <si>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</si>
  <si>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</si>
  <si>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AICRP on Agroforestry, CARI, Jhansi</t>
  </si>
  <si>
    <t>IIWM, Bhubaneshwar</t>
  </si>
  <si>
    <t>AICRP on IWM,  IIWM, Bhubaneshwar</t>
  </si>
  <si>
    <t>CRP on Water, IIWM, Bhubaneshwar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</si>
  <si>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</si>
  <si>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</si>
  <si>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</si>
  <si>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</si>
  <si>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</si>
  <si>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</si>
  <si>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</si>
  <si>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</si>
  <si>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</si>
  <si>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</si>
  <si>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</si>
  <si>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</si>
  <si>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</si>
  <si>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</si>
  <si>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</si>
  <si>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</si>
  <si>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</si>
  <si>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</si>
  <si>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</si>
  <si>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</si>
  <si>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</si>
  <si>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</si>
  <si>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</si>
  <si>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</si>
  <si>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</si>
  <si>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</si>
  <si>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</si>
  <si>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</si>
  <si>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</si>
  <si>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</si>
  <si>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</si>
  <si>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</si>
  <si>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</si>
  <si>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</si>
  <si>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</si>
  <si>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</si>
  <si>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</si>
  <si>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</si>
  <si>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</si>
  <si>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</si>
  <si>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</si>
  <si>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</si>
  <si>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</si>
  <si>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</si>
  <si>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</si>
  <si>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</si>
  <si>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>PIU, NASF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</si>
  <si>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</si>
  <si>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</si>
  <si>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</si>
  <si>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</si>
  <si>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</si>
  <si>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</si>
  <si>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</si>
  <si>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</si>
  <si>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</si>
  <si>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</si>
  <si>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</si>
  <si>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</si>
  <si>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FARMER FIRST</t>
  </si>
  <si>
    <t>ARYA</t>
  </si>
  <si>
    <t>NETWORK PROJECT</t>
  </si>
  <si>
    <t>DISASTER MGMT.</t>
  </si>
  <si>
    <t>TOTAL AGRICULTURAL EXTENSION</t>
  </si>
  <si>
    <t>GRAND TOTAL</t>
  </si>
  <si>
    <t>AICRP on Sugarcane, IISR, Lucknow</t>
  </si>
  <si>
    <t>Total NAHEP</t>
  </si>
  <si>
    <t>TOTAL NASF</t>
  </si>
  <si>
    <t>AICRP on Honey Bee &amp; Pollinators, IARI, New Delhi</t>
  </si>
  <si>
    <t xml:space="preserve">General </t>
  </si>
  <si>
    <t>SCSP</t>
  </si>
  <si>
    <t>Capital</t>
  </si>
  <si>
    <t>NAHEP (EAP)</t>
  </si>
  <si>
    <t>IIMR, Ludhiana</t>
  </si>
  <si>
    <t>Total General</t>
  </si>
  <si>
    <t>Grand total-General + Capital</t>
  </si>
  <si>
    <t>NRC on Integrated Farming (Mahtma Gandhi Institute of Integrated Farming), Motihari</t>
  </si>
  <si>
    <t xml:space="preserve"> Capital</t>
  </si>
  <si>
    <t>DARE SECTT.</t>
  </si>
  <si>
    <t>DARE CAU</t>
  </si>
  <si>
    <t>DARE NAAS</t>
  </si>
  <si>
    <t>ASRB</t>
  </si>
  <si>
    <t>TOTAL</t>
  </si>
  <si>
    <t xml:space="preserve">GRAND TOTAL </t>
  </si>
  <si>
    <t>CAFRI,Jhansi</t>
  </si>
  <si>
    <t>NINFET, Kolkata</t>
  </si>
  <si>
    <t>GIA CAPITAL</t>
  </si>
  <si>
    <t>ag ext (dkma)</t>
  </si>
  <si>
    <t>Release 1st (APR-JUNE)installment</t>
  </si>
  <si>
    <t>Release 2ND (JULY-SEPT)installment</t>
  </si>
  <si>
    <t xml:space="preserve">Agricultural  Extension </t>
  </si>
  <si>
    <t>ARYA BE 2021-22</t>
  </si>
  <si>
    <t xml:space="preserve">APR-JUNE </t>
  </si>
  <si>
    <t>FARMER FIRST BE 2021</t>
  </si>
  <si>
    <t>JULY-SEPT RELEASE</t>
  </si>
  <si>
    <t>GIA GENERAL</t>
  </si>
  <si>
    <t>ARYA GENERAL</t>
  </si>
  <si>
    <t>ARYA CAPITAL</t>
  </si>
  <si>
    <t>FFP GENERAL</t>
  </si>
  <si>
    <t>FFP CAPITAL</t>
  </si>
  <si>
    <t>total</t>
  </si>
  <si>
    <t>SEPT ARYA</t>
  </si>
  <si>
    <t>SEPT FFP</t>
  </si>
  <si>
    <t xml:space="preserve">OCT-DEC </t>
  </si>
  <si>
    <t>SEPT RELEASE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</si>
  <si>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</si>
  <si>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</si>
  <si>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</si>
  <si>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</si>
  <si>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AICRP on Bio Tech Crops</t>
  </si>
  <si>
    <t>NIPB, New Delhi</t>
  </si>
  <si>
    <t>Translational Genomics in Crop Plants(TGCP), NIPB, New Delhi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</si>
  <si>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</si>
  <si>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</si>
  <si>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</si>
  <si>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</si>
  <si>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(RS IN LAKH)</t>
  </si>
  <si>
    <t>OCT-DEC RELEASE</t>
  </si>
  <si>
    <t>other than neh, tsp,scsp</t>
  </si>
  <si>
    <t>nov release</t>
  </si>
  <si>
    <t>GIA GENERAL arya</t>
  </si>
  <si>
    <t>GIA CAPITAL arya</t>
  </si>
  <si>
    <t>GIA GENERAL ffp</t>
  </si>
  <si>
    <t>GIA CAPITAL ffp</t>
  </si>
  <si>
    <t>PROGRESSIVE RELEASE TILL DEC, 2021</t>
  </si>
  <si>
    <t>(RS IN LAKH )</t>
  </si>
  <si>
    <t>PROG. ARYA</t>
  </si>
  <si>
    <t>PROG. FFP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</si>
</sst>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2" fontId="2" fillId="0" borderId="1" xfId="0" applyNumberFormat="1" applyFont="1" applyBorder="1" applyAlignment="1" applyProtection="1">
      <alignment vertical="top"/>
    </xf>
    <xf numFmtId="2" fontId="5" fillId="2" borderId="1" xfId="0" applyNumberFormat="1" applyFont="1" applyFill="1" applyBorder="1" applyAlignment="1" applyProtection="1">
      <alignment vertical="top"/>
    </xf>
    <xf numFmtId="2" fontId="2" fillId="3" borderId="1" xfId="0" applyNumberFormat="1" applyFont="1" applyFill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center" vertical="top"/>
    </xf>
    <xf numFmtId="2" fontId="2" fillId="0" borderId="0" xfId="0" applyNumberFormat="1" applyFont="1" applyAlignment="1" applyProtection="1">
      <alignment vertical="top"/>
    </xf>
    <xf numFmtId="0" fontId="2" fillId="0" borderId="0" xfId="0" applyFont="1" applyAlignment="1" applyProtection="1">
      <alignment vertical="top" wrapText="1"/>
    </xf>
    <xf numFmtId="2" fontId="5" fillId="2" borderId="0" xfId="0" applyNumberFormat="1" applyFont="1" applyFill="1" applyBorder="1" applyAlignment="1" applyProtection="1">
      <alignment vertical="top"/>
    </xf>
    <xf numFmtId="2" fontId="2" fillId="0" borderId="0" xfId="0" applyNumberFormat="1" applyFont="1" applyBorder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top" wrapText="1"/>
    </xf>
    <xf numFmtId="2" fontId="4" fillId="0" borderId="1" xfId="0" applyNumberFormat="1" applyFont="1" applyBorder="1" applyAlignment="1" applyProtection="1">
      <alignment vertical="top"/>
    </xf>
    <xf numFmtId="0" fontId="9" fillId="0" borderId="1" xfId="0" applyNumberFormat="1" applyFont="1" applyBorder="1" applyAlignment="1" applyProtection="1">
      <alignment horizontal="center" vertical="top"/>
    </xf>
    <xf numFmtId="2" fontId="9" fillId="0" borderId="1" xfId="0" applyNumberFormat="1" applyFont="1" applyBorder="1" applyAlignment="1" applyProtection="1">
      <alignment vertical="top" wrapText="1"/>
    </xf>
    <xf numFmtId="2" fontId="9" fillId="0" borderId="1" xfId="0" applyNumberFormat="1" applyFont="1" applyBorder="1" applyAlignment="1" applyProtection="1">
      <alignment vertical="top"/>
      <protection locked="0"/>
    </xf>
    <xf numFmtId="2" fontId="9" fillId="2" borderId="1" xfId="0" applyNumberFormat="1" applyFont="1" applyFill="1" applyBorder="1" applyAlignment="1" applyProtection="1">
      <alignment vertical="top"/>
    </xf>
    <xf numFmtId="2" fontId="7" fillId="2" borderId="1" xfId="0" applyNumberFormat="1" applyFont="1" applyFill="1" applyBorder="1" applyAlignment="1" applyProtection="1">
      <alignment vertical="top"/>
    </xf>
    <xf numFmtId="2" fontId="8" fillId="2" borderId="1" xfId="0" applyNumberFormat="1" applyFont="1" applyFill="1" applyBorder="1" applyAlignment="1" applyProtection="1">
      <alignment vertical="top"/>
    </xf>
    <xf numFmtId="2" fontId="9" fillId="4" borderId="1" xfId="0" applyNumberFormat="1" applyFont="1" applyFill="1" applyBorder="1" applyAlignment="1" applyProtection="1">
      <alignment vertical="top"/>
      <protection locked="0"/>
    </xf>
    <xf numFmtId="2" fontId="12" fillId="0" borderId="1" xfId="0" applyNumberFormat="1" applyFont="1" applyBorder="1" applyAlignment="1" applyProtection="1">
      <alignment vertical="top" wrapText="1"/>
    </xf>
    <xf numFmtId="0" fontId="9" fillId="3" borderId="1" xfId="0" applyNumberFormat="1" applyFont="1" applyFill="1" applyBorder="1" applyAlignment="1" applyProtection="1">
      <alignment horizontal="center" vertical="top"/>
    </xf>
    <xf numFmtId="2" fontId="9" fillId="3" borderId="1" xfId="0" applyNumberFormat="1" applyFont="1" applyFill="1" applyBorder="1" applyAlignment="1" applyProtection="1">
      <alignment vertical="top" wrapText="1"/>
    </xf>
    <xf numFmtId="2" fontId="9" fillId="3" borderId="1" xfId="0" applyNumberFormat="1" applyFont="1" applyFill="1" applyBorder="1" applyAlignment="1" applyProtection="1">
      <alignment vertical="top"/>
      <protection locked="0"/>
    </xf>
    <xf numFmtId="2" fontId="9" fillId="0" borderId="1" xfId="0" applyNumberFormat="1" applyFont="1" applyBorder="1"/>
    <xf numFmtId="2" fontId="4" fillId="0" borderId="0" xfId="0" applyNumberFormat="1" applyFont="1" applyAlignment="1" applyProtection="1">
      <alignment vertical="top"/>
    </xf>
    <xf numFmtId="2" fontId="9" fillId="3" borderId="1" xfId="0" applyNumberFormat="1" applyFont="1" applyFill="1" applyBorder="1" applyAlignment="1" applyProtection="1">
      <alignment vertical="top"/>
    </xf>
    <xf numFmtId="2" fontId="2" fillId="3" borderId="0" xfId="0" applyNumberFormat="1" applyFont="1" applyFill="1" applyAlignment="1" applyProtection="1">
      <alignment vertical="top"/>
    </xf>
    <xf numFmtId="2" fontId="7" fillId="3" borderId="1" xfId="0" applyNumberFormat="1" applyFont="1" applyFill="1" applyBorder="1" applyAlignment="1" applyProtection="1">
      <alignment vertical="top"/>
    </xf>
    <xf numFmtId="0" fontId="7" fillId="5" borderId="1" xfId="0" applyNumberFormat="1" applyFont="1" applyFill="1" applyBorder="1" applyAlignment="1" applyProtection="1">
      <alignment horizontal="center" vertical="top"/>
    </xf>
    <xf numFmtId="2" fontId="7" fillId="5" borderId="1" xfId="0" applyNumberFormat="1" applyFont="1" applyFill="1" applyBorder="1" applyAlignment="1" applyProtection="1">
      <alignment vertical="top" wrapText="1"/>
    </xf>
    <xf numFmtId="2" fontId="7" fillId="5" borderId="1" xfId="0" applyNumberFormat="1" applyFont="1" applyFill="1" applyBorder="1" applyAlignment="1" applyProtection="1">
      <alignment vertical="top"/>
    </xf>
    <xf numFmtId="0" fontId="2" fillId="5" borderId="0" xfId="0" applyFont="1" applyFill="1" applyAlignment="1" applyProtection="1">
      <alignment vertical="top"/>
    </xf>
    <xf numFmtId="2" fontId="3" fillId="3" borderId="0" xfId="0" applyNumberFormat="1" applyFont="1" applyFill="1" applyAlignment="1" applyProtection="1">
      <alignment vertical="top"/>
    </xf>
    <xf numFmtId="2" fontId="9" fillId="3" borderId="1" xfId="0" applyNumberFormat="1" applyFont="1" applyFill="1" applyBorder="1"/>
    <xf numFmtId="0" fontId="6" fillId="2" borderId="1" xfId="0" applyFont="1" applyFill="1" applyBorder="1" applyAlignment="1" applyProtection="1">
      <alignment vertical="top" wrapText="1"/>
    </xf>
    <xf numFmtId="2" fontId="8" fillId="2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 wrapText="1"/>
    </xf>
    <xf numFmtId="0" fontId="2" fillId="3" borderId="0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vertical="top" wrapText="1"/>
    </xf>
    <xf numFmtId="2" fontId="2" fillId="3" borderId="0" xfId="0" applyNumberFormat="1" applyFont="1" applyFill="1" applyBorder="1" applyAlignment="1" applyProtection="1">
      <alignment vertical="top"/>
    </xf>
    <xf numFmtId="2" fontId="4" fillId="3" borderId="0" xfId="0" applyNumberFormat="1" applyFont="1" applyFill="1" applyBorder="1" applyAlignment="1" applyProtection="1">
      <alignment vertical="top"/>
    </xf>
    <xf numFmtId="0" fontId="2" fillId="3" borderId="0" xfId="0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vertical="top"/>
    </xf>
    <xf numFmtId="0" fontId="1" fillId="0" borderId="1" xfId="0" applyFont="1" applyFill="1" applyBorder="1" applyAlignment="1" applyProtection="1">
      <alignment vertical="top"/>
    </xf>
    <xf numFmtId="2" fontId="13" fillId="3" borderId="0" xfId="0" applyNumberFormat="1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/>
    </xf>
    <xf numFmtId="0" fontId="7" fillId="5" borderId="2" xfId="0" applyNumberFormat="1" applyFont="1" applyFill="1" applyBorder="1" applyAlignment="1" applyProtection="1">
      <alignment horizontal="center" vertical="top"/>
    </xf>
    <xf numFmtId="2" fontId="7" fillId="5" borderId="2" xfId="0" applyNumberFormat="1" applyFont="1" applyFill="1" applyBorder="1" applyAlignment="1" applyProtection="1">
      <alignment vertical="top" wrapText="1"/>
    </xf>
    <xf numFmtId="2" fontId="7" fillId="5" borderId="2" xfId="0" applyNumberFormat="1" applyFont="1" applyFill="1" applyBorder="1" applyAlignment="1" applyProtection="1">
      <alignment vertical="top"/>
    </xf>
    <xf numFmtId="0" fontId="4" fillId="0" borderId="6" xfId="0" applyFont="1" applyBorder="1" applyAlignment="1" applyProtection="1">
      <alignment vertical="top" wrapText="1"/>
    </xf>
    <xf numFmtId="2" fontId="2" fillId="0" borderId="6" xfId="0" applyNumberFormat="1" applyFont="1" applyBorder="1" applyAlignment="1" applyProtection="1">
      <alignment vertical="top"/>
    </xf>
    <xf numFmtId="2" fontId="4" fillId="0" borderId="6" xfId="0" applyNumberFormat="1" applyFont="1" applyBorder="1" applyAlignment="1" applyProtection="1">
      <alignment vertical="top"/>
    </xf>
    <xf numFmtId="2" fontId="2" fillId="3" borderId="6" xfId="0" applyNumberFormat="1" applyFont="1" applyFill="1" applyBorder="1" applyAlignment="1" applyProtection="1">
      <alignment vertical="top"/>
    </xf>
    <xf numFmtId="2" fontId="5" fillId="2" borderId="6" xfId="0" applyNumberFormat="1" applyFont="1" applyFill="1" applyBorder="1" applyAlignment="1" applyProtection="1">
      <alignment vertical="top"/>
    </xf>
    <xf numFmtId="0" fontId="2" fillId="0" borderId="1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vertical="top"/>
    </xf>
    <xf numFmtId="0" fontId="15" fillId="0" borderId="1" xfId="0" applyFont="1" applyBorder="1" applyAlignment="1" applyProtection="1">
      <alignment horizontal="center" vertical="top"/>
    </xf>
    <xf numFmtId="0" fontId="16" fillId="0" borderId="1" xfId="0" applyFont="1" applyBorder="1" applyAlignment="1" applyProtection="1">
      <alignment vertical="top" wrapText="1"/>
    </xf>
    <xf numFmtId="2" fontId="16" fillId="0" borderId="1" xfId="0" applyNumberFormat="1" applyFont="1" applyBorder="1" applyAlignment="1" applyProtection="1">
      <alignment vertical="top"/>
    </xf>
    <xf numFmtId="0" fontId="15" fillId="0" borderId="1" xfId="0" applyFont="1" applyBorder="1" applyAlignment="1" applyProtection="1">
      <alignment vertical="top"/>
    </xf>
    <xf numFmtId="2" fontId="17" fillId="0" borderId="1" xfId="0" applyNumberFormat="1" applyFont="1" applyBorder="1" applyAlignment="1">
      <alignment vertical="top"/>
    </xf>
    <xf numFmtId="2" fontId="19" fillId="0" borderId="1" xfId="0" applyNumberFormat="1" applyFont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2" fontId="18" fillId="0" borderId="7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/>
    </xf>
    <xf numFmtId="2" fontId="9" fillId="3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0" fontId="6" fillId="2" borderId="1" xfId="0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20" fillId="6" borderId="1" xfId="0" applyNumberFormat="1" applyFont="1" applyFill="1" applyBorder="1" applyAlignment="1" applyProtection="1">
      <alignment vertical="top" wrapText="1"/>
    </xf>
    <xf numFmtId="2" fontId="9" fillId="6" borderId="1" xfId="0" applyNumberFormat="1" applyFont="1" applyFill="1" applyBorder="1" applyAlignment="1" applyProtection="1">
      <alignment vertical="top"/>
      <protection locked="0"/>
    </xf>
    <xf numFmtId="0" fontId="7" fillId="0" borderId="1" xfId="0" applyNumberFormat="1" applyFont="1" applyBorder="1" applyAlignment="1" applyProtection="1">
      <alignment horizontal="center" vertical="top"/>
    </xf>
    <xf numFmtId="2" fontId="7" fillId="0" borderId="1" xfId="0" applyNumberFormat="1" applyFont="1" applyBorder="1" applyAlignment="1" applyProtection="1">
      <alignment vertical="top" wrapText="1"/>
    </xf>
    <xf numFmtId="2" fontId="7" fillId="0" borderId="1" xfId="0" applyNumberFormat="1" applyFont="1" applyBorder="1" applyAlignment="1" applyProtection="1">
      <alignment vertical="top"/>
      <protection locked="0"/>
    </xf>
    <xf numFmtId="2" fontId="7" fillId="3" borderId="1" xfId="0" applyNumberFormat="1" applyFont="1" applyFill="1" applyBorder="1" applyAlignment="1" applyProtection="1">
      <alignment vertical="top"/>
      <protection locked="0"/>
    </xf>
    <xf numFmtId="2" fontId="7" fillId="4" borderId="1" xfId="0" applyNumberFormat="1" applyFont="1" applyFill="1" applyBorder="1" applyAlignment="1" applyProtection="1">
      <alignment vertical="top"/>
      <protection locked="0"/>
    </xf>
    <xf numFmtId="2" fontId="7" fillId="0" borderId="1" xfId="0" applyNumberFormat="1" applyFont="1" applyBorder="1"/>
    <xf numFmtId="2" fontId="21" fillId="0" borderId="1" xfId="0" applyNumberFormat="1" applyFont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vertical="top"/>
    </xf>
    <xf numFmtId="2" fontId="7" fillId="3" borderId="1" xfId="0" applyNumberFormat="1" applyFont="1" applyFill="1" applyBorder="1" applyAlignment="1" applyProtection="1">
      <alignment vertical="top" wrapText="1"/>
    </xf>
    <xf numFmtId="0" fontId="0" fillId="0" borderId="1" xfId="0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9" fillId="0" borderId="1" xfId="0" applyNumberFormat="1" applyFont="1" applyFill="1" applyBorder="1" applyAlignment="1" applyProtection="1">
      <alignment vertical="top"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0" xfId="0" applyFont="1"/>
    <xf numFmtId="2" fontId="9" fillId="7" borderId="1" xfId="0" applyNumberFormat="1" applyFont="1" applyFill="1" applyBorder="1" applyAlignment="1" applyProtection="1">
      <alignment vertical="top"/>
      <protection locked="0"/>
    </xf>
    <xf numFmtId="2" fontId="9" fillId="8" borderId="1" xfId="0" applyNumberFormat="1" applyFont="1" applyFill="1" applyBorder="1" applyAlignment="1" applyProtection="1">
      <alignment vertical="top"/>
      <protection locked="0"/>
    </xf>
    <xf numFmtId="2" fontId="14" fillId="3" borderId="0" xfId="0" applyNumberFormat="1" applyFont="1" applyFill="1" applyBorder="1" applyAlignment="1" applyProtection="1">
      <alignment horizontal="center" vertical="top" wrapText="1"/>
    </xf>
    <xf numFmtId="2" fontId="23" fillId="0" borderId="1" xfId="0" applyNumberFormat="1" applyFont="1" applyBorder="1" applyAlignment="1">
      <alignment vertical="top"/>
    </xf>
    <xf numFmtId="0" fontId="7" fillId="3" borderId="1" xfId="0" applyNumberFormat="1" applyFont="1" applyFill="1" applyBorder="1" applyAlignment="1" applyProtection="1">
      <alignment horizontal="center" vertical="top"/>
    </xf>
    <xf numFmtId="164" fontId="3" fillId="3" borderId="0" xfId="0" applyNumberFormat="1" applyFont="1" applyFill="1" applyAlignment="1" applyProtection="1">
      <alignment vertical="top"/>
    </xf>
    <xf numFmtId="0" fontId="1" fillId="0" borderId="0" xfId="0" applyFont="1"/>
    <xf numFmtId="2" fontId="7" fillId="2" borderId="5" xfId="0" applyNumberFormat="1" applyFont="1" applyFill="1" applyBorder="1" applyAlignment="1" applyProtection="1">
      <alignment vertical="top"/>
    </xf>
    <xf numFmtId="2" fontId="15" fillId="0" borderId="1" xfId="0" applyNumberFormat="1" applyFont="1" applyBorder="1" applyAlignment="1" applyProtection="1">
      <alignment vertical="top"/>
    </xf>
    <xf numFmtId="2" fontId="9" fillId="9" borderId="1" xfId="0" applyNumberFormat="1" applyFont="1" applyFill="1" applyBorder="1" applyAlignment="1" applyProtection="1">
      <alignment vertical="top"/>
      <protection locked="0"/>
    </xf>
    <xf numFmtId="2" fontId="14" fillId="3" borderId="0" xfId="0" applyNumberFormat="1" applyFont="1" applyFill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24" fillId="10" borderId="1" xfId="0" applyNumberFormat="1" applyFont="1" applyFill="1" applyBorder="1" applyAlignment="1">
      <alignment horizontal="left" vertical="top" wrapText="1"/>
    </xf>
    <xf numFmtId="2" fontId="23" fillId="0" borderId="1" xfId="0" applyNumberFormat="1" applyFont="1" applyBorder="1" applyAlignment="1"/>
    <xf numFmtId="2" fontId="23" fillId="11" borderId="1" xfId="0" applyNumberFormat="1" applyFont="1" applyFill="1" applyBorder="1" applyAlignment="1"/>
    <xf numFmtId="2" fontId="25" fillId="10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9" fillId="2" borderId="4" xfId="0" applyNumberFormat="1" applyFont="1" applyFill="1" applyBorder="1" applyAlignment="1" applyProtection="1">
      <alignment vertical="top"/>
    </xf>
    <xf numFmtId="2" fontId="6" fillId="2" borderId="4" xfId="0" applyNumberFormat="1" applyFont="1" applyFill="1" applyBorder="1" applyAlignment="1" applyProtection="1">
      <alignment horizontal="center" vertical="top" wrapText="1"/>
    </xf>
    <xf numFmtId="2" fontId="9" fillId="0" borderId="4" xfId="0" applyNumberFormat="1" applyFont="1" applyBorder="1" applyAlignment="1" applyProtection="1">
      <alignment vertical="top"/>
      <protection locked="0"/>
    </xf>
    <xf numFmtId="2" fontId="7" fillId="0" borderId="4" xfId="0" applyNumberFormat="1" applyFont="1" applyBorder="1" applyAlignment="1" applyProtection="1">
      <alignment vertical="top"/>
      <protection locked="0"/>
    </xf>
    <xf numFmtId="2" fontId="7" fillId="3" borderId="4" xfId="0" applyNumberFormat="1" applyFont="1" applyFill="1" applyBorder="1" applyAlignment="1" applyProtection="1">
      <alignment vertical="top"/>
      <protection locked="0"/>
    </xf>
    <xf numFmtId="2" fontId="7" fillId="4" borderId="4" xfId="0" applyNumberFormat="1" applyFont="1" applyFill="1" applyBorder="1" applyAlignment="1" applyProtection="1">
      <alignment vertical="top"/>
      <protection locked="0"/>
    </xf>
    <xf numFmtId="2" fontId="7" fillId="5" borderId="4" xfId="0" applyNumberFormat="1" applyFont="1" applyFill="1" applyBorder="1" applyAlignment="1" applyProtection="1">
      <alignment vertical="top"/>
    </xf>
    <xf numFmtId="2" fontId="9" fillId="6" borderId="4" xfId="0" applyNumberFormat="1" applyFont="1" applyFill="1" applyBorder="1" applyAlignment="1" applyProtection="1">
      <alignment vertical="top"/>
      <protection locked="0"/>
    </xf>
    <xf numFmtId="2" fontId="23" fillId="0" borderId="4" xfId="0" applyNumberFormat="1" applyFont="1" applyBorder="1" applyAlignment="1">
      <alignment vertical="top"/>
    </xf>
    <xf numFmtId="2" fontId="7" fillId="5" borderId="9" xfId="0" applyNumberFormat="1" applyFont="1" applyFill="1" applyBorder="1" applyAlignment="1" applyProtection="1">
      <alignment vertical="top"/>
    </xf>
    <xf numFmtId="2" fontId="2" fillId="3" borderId="4" xfId="0" applyNumberFormat="1" applyFont="1" applyFill="1" applyBorder="1" applyAlignment="1" applyProtection="1">
      <alignment vertical="top"/>
    </xf>
    <xf numFmtId="2" fontId="4" fillId="0" borderId="4" xfId="0" applyNumberFormat="1" applyFont="1" applyBorder="1" applyAlignment="1" applyProtection="1">
      <alignment vertical="top"/>
    </xf>
    <xf numFmtId="2" fontId="16" fillId="0" borderId="4" xfId="0" applyNumberFormat="1" applyFont="1" applyBorder="1" applyAlignment="1" applyProtection="1">
      <alignment vertical="top"/>
    </xf>
    <xf numFmtId="2" fontId="2" fillId="3" borderId="10" xfId="0" applyNumberFormat="1" applyFont="1" applyFill="1" applyBorder="1" applyAlignment="1" applyProtection="1">
      <alignment vertical="top"/>
    </xf>
    <xf numFmtId="2" fontId="3" fillId="3" borderId="1" xfId="0" applyNumberFormat="1" applyFont="1" applyFill="1" applyBorder="1" applyAlignment="1" applyProtection="1">
      <alignment vertical="top"/>
    </xf>
    <xf numFmtId="2" fontId="14" fillId="3" borderId="1" xfId="0" applyNumberFormat="1" applyFont="1" applyFill="1" applyBorder="1" applyAlignment="1" applyProtection="1">
      <alignment horizontal="center" vertical="top" wrapText="1"/>
    </xf>
    <xf numFmtId="2" fontId="2" fillId="0" borderId="1" xfId="0" applyNumberFormat="1" applyFont="1" applyFill="1" applyBorder="1" applyAlignment="1" applyProtection="1">
      <alignment vertical="top"/>
    </xf>
    <xf numFmtId="2" fontId="22" fillId="0" borderId="1" xfId="0" applyNumberFormat="1" applyFont="1" applyFill="1" applyBorder="1" applyAlignment="1" applyProtection="1">
      <alignment vertical="top"/>
    </xf>
    <xf numFmtId="2" fontId="2" fillId="5" borderId="1" xfId="0" applyNumberFormat="1" applyFont="1" applyFill="1" applyBorder="1" applyAlignment="1" applyProtection="1">
      <alignment vertical="top"/>
    </xf>
    <xf numFmtId="2" fontId="0" fillId="0" borderId="0" xfId="0" applyNumberFormat="1"/>
    <xf numFmtId="2" fontId="14" fillId="3" borderId="1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0" fontId="2" fillId="5" borderId="1" xfId="0" applyFont="1" applyFill="1" applyBorder="1" applyAlignment="1" applyProtection="1">
      <alignment vertical="top"/>
    </xf>
    <xf numFmtId="2" fontId="14" fillId="3" borderId="9" xfId="0" applyNumberFormat="1" applyFont="1" applyFill="1" applyBorder="1" applyAlignment="1" applyProtection="1">
      <alignment horizontal="center" vertical="top" wrapText="1"/>
    </xf>
    <xf numFmtId="2" fontId="14" fillId="3" borderId="11" xfId="0" applyNumberFormat="1" applyFont="1" applyFill="1" applyBorder="1" applyAlignment="1" applyProtection="1">
      <alignment horizontal="center" vertical="top" wrapText="1"/>
    </xf>
    <xf numFmtId="2" fontId="14" fillId="3" borderId="12" xfId="0" applyNumberFormat="1" applyFont="1" applyFill="1" applyBorder="1" applyAlignment="1" applyProtection="1">
      <alignment horizontal="center" vertical="top" wrapText="1"/>
    </xf>
    <xf numFmtId="2" fontId="14" fillId="3" borderId="10" xfId="0" applyNumberFormat="1" applyFont="1" applyFill="1" applyBorder="1" applyAlignment="1" applyProtection="1">
      <alignment horizontal="center" vertical="top" wrapText="1"/>
    </xf>
    <xf numFmtId="2" fontId="14" fillId="3" borderId="8" xfId="0" applyNumberFormat="1" applyFont="1" applyFill="1" applyBorder="1" applyAlignment="1" applyProtection="1">
      <alignment horizontal="center" vertical="top" wrapText="1"/>
    </xf>
    <xf numFmtId="2" fontId="14" fillId="3" borderId="13" xfId="0" applyNumberFormat="1" applyFont="1" applyFill="1" applyBorder="1" applyAlignment="1" applyProtection="1">
      <alignment horizontal="center" vertical="top" wrapText="1"/>
    </xf>
    <xf numFmtId="2" fontId="14" fillId="3" borderId="1" xfId="0" applyNumberFormat="1" applyFont="1" applyFill="1" applyBorder="1" applyAlignment="1" applyProtection="1">
      <alignment horizontal="center" vertical="center" wrapText="1"/>
    </xf>
    <xf numFmtId="2" fontId="14" fillId="3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2" fontId="8" fillId="2" borderId="4" xfId="0" applyNumberFormat="1" applyFont="1" applyFill="1" applyBorder="1" applyAlignment="1" applyProtection="1">
      <alignment horizontal="center" vertical="top"/>
    </xf>
    <xf numFmtId="2" fontId="8" fillId="2" borderId="5" xfId="0" applyNumberFormat="1" applyFont="1" applyFill="1" applyBorder="1" applyAlignment="1" applyProtection="1">
      <alignment horizontal="center" vertical="top"/>
    </xf>
    <xf numFmtId="2" fontId="9" fillId="2" borderId="4" xfId="0" applyNumberFormat="1" applyFont="1" applyFill="1" applyBorder="1" applyAlignment="1" applyProtection="1">
      <alignment horizontal="center" vertical="top"/>
    </xf>
    <xf numFmtId="2" fontId="9" fillId="2" borderId="5" xfId="0" applyNumberFormat="1" applyFont="1" applyFill="1" applyBorder="1" applyAlignment="1" applyProtection="1">
      <alignment horizontal="center" vertical="top"/>
    </xf>
    <xf numFmtId="2" fontId="9" fillId="2" borderId="1" xfId="0" applyNumberFormat="1" applyFont="1" applyFill="1" applyBorder="1" applyAlignment="1" applyProtection="1">
      <alignment horizontal="center" vertical="top"/>
    </xf>
    <xf numFmtId="2" fontId="6" fillId="2" borderId="1" xfId="0" applyNumberFormat="1" applyFont="1" applyFill="1" applyBorder="1" applyAlignment="1" applyProtection="1">
      <alignment horizontal="center" vertical="top" wrapText="1"/>
    </xf>
    <xf numFmtId="2" fontId="14" fillId="3" borderId="0" xfId="0" applyNumberFormat="1" applyFont="1" applyFill="1" applyAlignment="1" applyProtection="1">
      <alignment horizontal="center" vertical="top" wrapText="1"/>
    </xf>
    <xf numFmtId="2" fontId="10" fillId="2" borderId="4" xfId="0" applyNumberFormat="1" applyFont="1" applyFill="1" applyBorder="1" applyAlignment="1" applyProtection="1">
      <alignment horizontal="center" vertical="top"/>
    </xf>
    <xf numFmtId="2" fontId="10" fillId="2" borderId="5" xfId="0" applyNumberFormat="1" applyFont="1" applyFill="1" applyBorder="1" applyAlignment="1" applyProtection="1">
      <alignment horizontal="center" vertical="top"/>
    </xf>
    <xf numFmtId="0" fontId="6" fillId="2" borderId="1" xfId="0" applyFont="1" applyFill="1" applyBorder="1" applyAlignment="1" applyProtection="1">
      <alignment horizontal="center" vertical="top" wrapText="1"/>
    </xf>
    <xf numFmtId="2" fontId="7" fillId="2" borderId="4" xfId="0" applyNumberFormat="1" applyFont="1" applyFill="1" applyBorder="1" applyAlignment="1" applyProtection="1">
      <alignment horizontal="center" vertical="top"/>
    </xf>
    <xf numFmtId="2" fontId="7" fillId="2" borderId="5" xfId="0" applyNumberFormat="1" applyFont="1" applyFill="1" applyBorder="1" applyAlignment="1" applyProtection="1">
      <alignment horizontal="center" vertical="top"/>
    </xf>
    <xf numFmtId="2" fontId="7" fillId="2" borderId="3" xfId="0" applyNumberFormat="1" applyFont="1" applyFill="1" applyBorder="1" applyAlignment="1" applyProtection="1">
      <alignment horizontal="center" vertical="top"/>
    </xf>
    <xf numFmtId="0" fontId="1" fillId="0" borderId="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BU753"/>
  <sheetViews>
    <sheetView tabSelected="1" view="pageBreakPreview" zoomScaleSheetLayoutView="100" workbookViewId="0">
      <pane xSplit="2" ySplit="7" topLeftCell="R290" activePane="bottomRight" state="frozen"/>
      <selection pane="topRight" activeCell="C1" sqref="C1"/>
      <selection pane="bottomLeft" activeCell="A8" sqref="A8"/>
      <selection pane="bottomRight" activeCell="R300" sqref="R300"/>
    </sheetView>
  </sheetViews>
  <sheetFormatPr defaultColWidth="9.109375" defaultRowHeight="20.100000000000001" customHeight="1" x14ac:dyDescent="0.3"/>
  <cols>
    <col min="1" max="1" width="5.5546875" style="7" customWidth="1"/>
    <col min="2" max="2" width="48.88671875" style="9" customWidth="1"/>
    <col min="3" max="3" width="17.88671875" style="8" hidden="1" customWidth="1"/>
    <col min="4" max="4" width="13.5546875" style="8" hidden="1" customWidth="1"/>
    <col min="5" max="5" width="13.5546875" style="27" hidden="1" customWidth="1"/>
    <col min="6" max="6" width="12.6640625" style="8" hidden="1" customWidth="1"/>
    <col min="7" max="7" width="11.88671875" style="29" hidden="1" customWidth="1"/>
    <col min="8" max="8" width="13.5546875" style="8" hidden="1" customWidth="1"/>
    <col min="9" max="9" width="11.44140625" style="8" hidden="1" customWidth="1"/>
    <col min="10" max="10" width="12.5546875" style="8" hidden="1" customWidth="1"/>
    <col min="11" max="11" width="12.6640625" style="8" hidden="1" customWidth="1"/>
    <col min="12" max="12" width="13.33203125" style="29" hidden="1" customWidth="1"/>
    <col min="13" max="13" width="12.33203125" style="29" hidden="1" customWidth="1"/>
    <col min="14" max="14" width="13.5546875" style="8" hidden="1" customWidth="1"/>
    <col min="15" max="15" width="14.5546875" style="8" hidden="1" customWidth="1"/>
    <col min="16" max="16" width="15.88671875" style="8" hidden="1" customWidth="1"/>
    <col min="17" max="17" width="18.109375" style="8" hidden="1" customWidth="1"/>
    <col min="18" max="18" width="14.5546875" style="8" customWidth="1"/>
    <col min="19" max="19" width="13.5546875" style="8" customWidth="1"/>
    <col min="20" max="20" width="12.6640625" style="8" customWidth="1"/>
    <col min="21" max="21" width="11.88671875" style="29" customWidth="1"/>
    <col min="22" max="22" width="11.44140625" style="8" customWidth="1"/>
    <col min="23" max="23" width="12.5546875" style="8" customWidth="1"/>
    <col min="24" max="24" width="12.109375" style="29" customWidth="1"/>
    <col min="25" max="25" width="12.33203125" style="29" customWidth="1"/>
    <col min="26" max="26" width="13.33203125" style="3" customWidth="1"/>
    <col min="27" max="27" width="15.33203125" style="3" customWidth="1"/>
    <col min="28" max="28" width="13" style="3" customWidth="1"/>
    <col min="29" max="29" width="14" style="3" customWidth="1"/>
    <col min="30" max="30" width="14.33203125" style="3" customWidth="1"/>
    <col min="31" max="31" width="13.33203125" style="3" customWidth="1"/>
    <col min="32" max="32" width="13.6640625" style="3" customWidth="1"/>
    <col min="33" max="33" width="11.5546875" style="3" customWidth="1"/>
    <col min="34" max="34" width="14.88671875" style="3" customWidth="1"/>
    <col min="35" max="35" width="16.33203125" style="3" customWidth="1"/>
    <col min="36" max="41" width="11.5546875" style="3" customWidth="1"/>
    <col min="42" max="42" width="14.6640625" style="3" customWidth="1"/>
    <col min="43" max="51" width="11.5546875" style="3" customWidth="1"/>
    <col min="52" max="52" width="14.44140625" style="58" customWidth="1"/>
    <col min="53" max="53" width="14.5546875" style="58" customWidth="1"/>
    <col min="54" max="59" width="11.5546875" style="58" customWidth="1"/>
    <col min="60" max="63" width="11.5546875" style="1" customWidth="1"/>
    <col min="64" max="64" width="16.44140625" style="1" customWidth="1"/>
    <col min="65" max="73" width="9.33203125" style="1" bestFit="1" customWidth="1"/>
    <col min="74" max="16384" width="9.109375" style="1"/>
  </cols>
  <sheetData>
    <row r="1" spans="1:64" s="35" customFormat="1" ht="20.100000000000001" customHeight="1" x14ac:dyDescent="0.3">
      <c r="L1" s="99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 t="s">
        <v>279</v>
      </c>
      <c r="BG1" s="125"/>
    </row>
    <row r="2" spans="1:64" s="47" customFormat="1" ht="20.100000000000001" customHeight="1" x14ac:dyDescent="0.3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 t="s">
        <v>242</v>
      </c>
      <c r="S2" s="149"/>
      <c r="T2" s="149"/>
      <c r="U2" s="149"/>
      <c r="V2" s="149"/>
      <c r="W2" s="149"/>
      <c r="X2" s="149"/>
      <c r="Y2" s="149"/>
      <c r="Z2" s="141" t="s">
        <v>243</v>
      </c>
      <c r="AA2" s="141"/>
      <c r="AB2" s="141"/>
      <c r="AC2" s="141"/>
      <c r="AD2" s="141"/>
      <c r="AE2" s="141"/>
      <c r="AF2" s="141"/>
      <c r="AG2" s="141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31"/>
      <c r="AX2" s="131"/>
      <c r="AY2" s="131"/>
      <c r="AZ2" s="134" t="s">
        <v>278</v>
      </c>
      <c r="BA2" s="135"/>
      <c r="BB2" s="135"/>
      <c r="BC2" s="135"/>
      <c r="BD2" s="135"/>
      <c r="BE2" s="135"/>
      <c r="BF2" s="135"/>
      <c r="BG2" s="136"/>
      <c r="BH2" s="104"/>
      <c r="BI2" s="104"/>
      <c r="BJ2" s="104"/>
      <c r="BK2" s="104"/>
    </row>
    <row r="3" spans="1:64" s="44" customFormat="1" ht="28.5" customHeight="1" x14ac:dyDescent="0.3">
      <c r="A3" s="40"/>
      <c r="B3" s="41"/>
      <c r="C3" s="42"/>
      <c r="D3" s="42"/>
      <c r="E3" s="43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38"/>
      <c r="S3" s="138"/>
      <c r="T3" s="138"/>
      <c r="U3" s="138"/>
      <c r="V3" s="138"/>
      <c r="W3" s="138"/>
      <c r="X3" s="138"/>
      <c r="Y3" s="138"/>
      <c r="Z3" s="141"/>
      <c r="AA3" s="141"/>
      <c r="AB3" s="141"/>
      <c r="AC3" s="141"/>
      <c r="AD3" s="141"/>
      <c r="AE3" s="141"/>
      <c r="AF3" s="141"/>
      <c r="AG3" s="141"/>
      <c r="AH3" s="141" t="s">
        <v>258</v>
      </c>
      <c r="AI3" s="141"/>
      <c r="AJ3" s="141"/>
      <c r="AK3" s="141"/>
      <c r="AL3" s="141"/>
      <c r="AM3" s="141"/>
      <c r="AN3" s="141"/>
      <c r="AO3" s="141"/>
      <c r="AP3" s="141" t="s">
        <v>271</v>
      </c>
      <c r="AQ3" s="141"/>
      <c r="AR3" s="141"/>
      <c r="AS3" s="141"/>
      <c r="AT3" s="141"/>
      <c r="AU3" s="141"/>
      <c r="AV3" s="141"/>
      <c r="AW3" s="141"/>
      <c r="AX3" s="140" t="s">
        <v>273</v>
      </c>
      <c r="AY3" s="140"/>
      <c r="AZ3" s="137"/>
      <c r="BA3" s="138"/>
      <c r="BB3" s="138"/>
      <c r="BC3" s="138"/>
      <c r="BD3" s="138"/>
      <c r="BE3" s="138"/>
      <c r="BF3" s="138"/>
      <c r="BG3" s="139"/>
      <c r="BH3" s="96"/>
      <c r="BI3" s="96"/>
      <c r="BJ3" s="96"/>
      <c r="BK3" s="96"/>
    </row>
    <row r="4" spans="1:64" s="45" customFormat="1" ht="20.100000000000001" customHeight="1" x14ac:dyDescent="0.3">
      <c r="A4" s="152" t="s">
        <v>0</v>
      </c>
      <c r="B4" s="37" t="s">
        <v>8</v>
      </c>
      <c r="C4" s="153" t="s">
        <v>7</v>
      </c>
      <c r="D4" s="154"/>
      <c r="E4" s="155"/>
      <c r="F4" s="142" t="s">
        <v>5</v>
      </c>
      <c r="G4" s="142"/>
      <c r="H4" s="142"/>
      <c r="I4" s="142" t="s">
        <v>4</v>
      </c>
      <c r="J4" s="142"/>
      <c r="K4" s="19"/>
      <c r="L4" s="142" t="s">
        <v>224</v>
      </c>
      <c r="M4" s="142"/>
      <c r="N4" s="70"/>
      <c r="O4" s="70"/>
      <c r="P4" s="143" t="s">
        <v>6</v>
      </c>
      <c r="Q4" s="144"/>
      <c r="R4" s="153" t="s">
        <v>7</v>
      </c>
      <c r="S4" s="154"/>
      <c r="T4" s="142" t="s">
        <v>5</v>
      </c>
      <c r="U4" s="142"/>
      <c r="V4" s="142" t="s">
        <v>4</v>
      </c>
      <c r="W4" s="142"/>
      <c r="X4" s="142" t="s">
        <v>224</v>
      </c>
      <c r="Y4" s="142"/>
      <c r="Z4" s="142" t="s">
        <v>7</v>
      </c>
      <c r="AA4" s="142"/>
      <c r="AB4" s="142" t="s">
        <v>5</v>
      </c>
      <c r="AC4" s="142"/>
      <c r="AD4" s="142" t="s">
        <v>4</v>
      </c>
      <c r="AE4" s="142"/>
      <c r="AF4" s="142" t="s">
        <v>224</v>
      </c>
      <c r="AG4" s="142"/>
      <c r="AH4" s="142" t="s">
        <v>7</v>
      </c>
      <c r="AI4" s="142"/>
      <c r="AJ4" s="142" t="s">
        <v>5</v>
      </c>
      <c r="AK4" s="142"/>
      <c r="AL4" s="142" t="s">
        <v>4</v>
      </c>
      <c r="AM4" s="142"/>
      <c r="AN4" s="142" t="s">
        <v>224</v>
      </c>
      <c r="AO4" s="142"/>
      <c r="AP4" s="142" t="s">
        <v>7</v>
      </c>
      <c r="AQ4" s="142"/>
      <c r="AR4" s="142" t="s">
        <v>5</v>
      </c>
      <c r="AS4" s="142"/>
      <c r="AT4" s="142" t="s">
        <v>4</v>
      </c>
      <c r="AU4" s="142"/>
      <c r="AV4" s="142" t="s">
        <v>224</v>
      </c>
      <c r="AW4" s="142"/>
      <c r="AX4" s="19" t="s">
        <v>272</v>
      </c>
      <c r="AY4" s="19"/>
      <c r="AZ4" s="142" t="s">
        <v>7</v>
      </c>
      <c r="BA4" s="142"/>
      <c r="BB4" s="142" t="s">
        <v>5</v>
      </c>
      <c r="BC4" s="142"/>
      <c r="BD4" s="142" t="s">
        <v>4</v>
      </c>
      <c r="BE4" s="142"/>
      <c r="BF4" s="142" t="s">
        <v>224</v>
      </c>
      <c r="BG4" s="142"/>
      <c r="BH4" s="101"/>
      <c r="BI4" s="101"/>
      <c r="BJ4" s="101"/>
      <c r="BK4" s="101"/>
    </row>
    <row r="5" spans="1:64" s="45" customFormat="1" ht="20.100000000000001" customHeight="1" x14ac:dyDescent="0.3">
      <c r="A5" s="152"/>
      <c r="B5" s="37"/>
      <c r="C5" s="145" t="s">
        <v>1</v>
      </c>
      <c r="D5" s="146"/>
      <c r="E5" s="142" t="s">
        <v>3</v>
      </c>
      <c r="F5" s="147" t="s">
        <v>1</v>
      </c>
      <c r="G5" s="147"/>
      <c r="H5" s="148" t="s">
        <v>3</v>
      </c>
      <c r="I5" s="18" t="s">
        <v>1</v>
      </c>
      <c r="J5" s="18"/>
      <c r="K5" s="148" t="s">
        <v>3</v>
      </c>
      <c r="L5" s="18" t="s">
        <v>1</v>
      </c>
      <c r="M5" s="18"/>
      <c r="N5" s="142" t="s">
        <v>3</v>
      </c>
      <c r="O5" s="70"/>
      <c r="P5" s="150" t="s">
        <v>1</v>
      </c>
      <c r="Q5" s="151"/>
      <c r="R5" s="145" t="s">
        <v>1</v>
      </c>
      <c r="S5" s="146"/>
      <c r="T5" s="147" t="s">
        <v>1</v>
      </c>
      <c r="U5" s="147"/>
      <c r="V5" s="18" t="s">
        <v>1</v>
      </c>
      <c r="W5" s="18"/>
      <c r="X5" s="18" t="s">
        <v>1</v>
      </c>
      <c r="Y5" s="111"/>
      <c r="Z5" s="147" t="s">
        <v>1</v>
      </c>
      <c r="AA5" s="147"/>
      <c r="AB5" s="147" t="s">
        <v>1</v>
      </c>
      <c r="AC5" s="147"/>
      <c r="AD5" s="18" t="s">
        <v>1</v>
      </c>
      <c r="AE5" s="18"/>
      <c r="AF5" s="18" t="s">
        <v>1</v>
      </c>
      <c r="AG5" s="18"/>
      <c r="AH5" s="147" t="s">
        <v>1</v>
      </c>
      <c r="AI5" s="147"/>
      <c r="AJ5" s="147" t="s">
        <v>1</v>
      </c>
      <c r="AK5" s="147"/>
      <c r="AL5" s="18" t="s">
        <v>1</v>
      </c>
      <c r="AM5" s="18"/>
      <c r="AN5" s="18" t="s">
        <v>1</v>
      </c>
      <c r="AO5" s="18"/>
      <c r="AP5" s="147" t="s">
        <v>1</v>
      </c>
      <c r="AQ5" s="147"/>
      <c r="AR5" s="147" t="s">
        <v>1</v>
      </c>
      <c r="AS5" s="147"/>
      <c r="AT5" s="18" t="s">
        <v>1</v>
      </c>
      <c r="AU5" s="18"/>
      <c r="AV5" s="18" t="s">
        <v>1</v>
      </c>
      <c r="AW5" s="18"/>
      <c r="AX5" s="18"/>
      <c r="AY5" s="18"/>
      <c r="AZ5" s="147" t="s">
        <v>1</v>
      </c>
      <c r="BA5" s="147"/>
      <c r="BB5" s="147" t="s">
        <v>1</v>
      </c>
      <c r="BC5" s="147"/>
      <c r="BD5" s="18" t="s">
        <v>1</v>
      </c>
      <c r="BE5" s="18"/>
      <c r="BF5" s="18" t="s">
        <v>1</v>
      </c>
      <c r="BG5" s="18"/>
      <c r="BH5" s="18"/>
      <c r="BI5" s="18"/>
      <c r="BJ5" s="18"/>
      <c r="BK5" s="18"/>
    </row>
    <row r="6" spans="1:64" s="46" customFormat="1" ht="60.75" customHeight="1" x14ac:dyDescent="0.3">
      <c r="A6" s="152"/>
      <c r="B6" s="37"/>
      <c r="C6" s="71" t="s">
        <v>223</v>
      </c>
      <c r="D6" s="71" t="s">
        <v>2</v>
      </c>
      <c r="E6" s="142"/>
      <c r="F6" s="71" t="s">
        <v>223</v>
      </c>
      <c r="G6" s="71" t="s">
        <v>225</v>
      </c>
      <c r="H6" s="148"/>
      <c r="I6" s="71" t="s">
        <v>223</v>
      </c>
      <c r="J6" s="71" t="s">
        <v>2</v>
      </c>
      <c r="K6" s="148"/>
      <c r="L6" s="71" t="s">
        <v>223</v>
      </c>
      <c r="M6" s="71" t="s">
        <v>2</v>
      </c>
      <c r="N6" s="142"/>
      <c r="O6" s="38" t="s">
        <v>228</v>
      </c>
      <c r="P6" s="69" t="s">
        <v>231</v>
      </c>
      <c r="Q6" s="39" t="s">
        <v>229</v>
      </c>
      <c r="R6" s="73" t="s">
        <v>223</v>
      </c>
      <c r="S6" s="73" t="s">
        <v>2</v>
      </c>
      <c r="T6" s="73" t="s">
        <v>223</v>
      </c>
      <c r="U6" s="73" t="s">
        <v>225</v>
      </c>
      <c r="V6" s="73" t="s">
        <v>223</v>
      </c>
      <c r="W6" s="73" t="s">
        <v>2</v>
      </c>
      <c r="X6" s="73" t="s">
        <v>223</v>
      </c>
      <c r="Y6" s="112" t="s">
        <v>2</v>
      </c>
      <c r="Z6" s="110" t="s">
        <v>223</v>
      </c>
      <c r="AA6" s="110" t="s">
        <v>2</v>
      </c>
      <c r="AB6" s="110" t="s">
        <v>223</v>
      </c>
      <c r="AC6" s="110" t="s">
        <v>225</v>
      </c>
      <c r="AD6" s="110" t="s">
        <v>223</v>
      </c>
      <c r="AE6" s="110" t="s">
        <v>2</v>
      </c>
      <c r="AF6" s="110" t="s">
        <v>223</v>
      </c>
      <c r="AG6" s="110" t="s">
        <v>2</v>
      </c>
      <c r="AH6" s="110" t="s">
        <v>223</v>
      </c>
      <c r="AI6" s="110" t="s">
        <v>2</v>
      </c>
      <c r="AJ6" s="110" t="s">
        <v>223</v>
      </c>
      <c r="AK6" s="110" t="s">
        <v>225</v>
      </c>
      <c r="AL6" s="110" t="s">
        <v>223</v>
      </c>
      <c r="AM6" s="110" t="s">
        <v>2</v>
      </c>
      <c r="AN6" s="110" t="s">
        <v>223</v>
      </c>
      <c r="AO6" s="110" t="s">
        <v>2</v>
      </c>
      <c r="AP6" s="110" t="s">
        <v>223</v>
      </c>
      <c r="AQ6" s="110" t="s">
        <v>2</v>
      </c>
      <c r="AR6" s="110" t="s">
        <v>223</v>
      </c>
      <c r="AS6" s="110" t="s">
        <v>225</v>
      </c>
      <c r="AT6" s="110" t="s">
        <v>223</v>
      </c>
      <c r="AU6" s="110" t="s">
        <v>2</v>
      </c>
      <c r="AV6" s="110" t="s">
        <v>223</v>
      </c>
      <c r="AW6" s="132" t="s">
        <v>2</v>
      </c>
      <c r="AX6" s="132" t="s">
        <v>223</v>
      </c>
      <c r="AY6" s="132" t="s">
        <v>2</v>
      </c>
      <c r="AZ6" s="132" t="s">
        <v>223</v>
      </c>
      <c r="BA6" s="132" t="s">
        <v>2</v>
      </c>
      <c r="BB6" s="132" t="s">
        <v>223</v>
      </c>
      <c r="BC6" s="132" t="s">
        <v>225</v>
      </c>
      <c r="BD6" s="132" t="s">
        <v>223</v>
      </c>
      <c r="BE6" s="132" t="s">
        <v>2</v>
      </c>
      <c r="BF6" s="132" t="s">
        <v>223</v>
      </c>
      <c r="BG6" s="132" t="s">
        <v>2</v>
      </c>
      <c r="BH6" s="105"/>
      <c r="BI6" s="105"/>
      <c r="BJ6" s="105"/>
      <c r="BK6" s="105"/>
    </row>
    <row r="7" spans="1:64" s="48" customFormat="1" ht="20.100000000000001" customHeight="1" x14ac:dyDescent="0.3">
      <c r="A7" s="72"/>
      <c r="B7" s="7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69"/>
      <c r="Q7" s="71"/>
      <c r="R7" s="73"/>
      <c r="S7" s="73"/>
      <c r="T7" s="73"/>
      <c r="U7" s="73"/>
      <c r="V7" s="73"/>
      <c r="W7" s="73"/>
      <c r="X7" s="73"/>
      <c r="Y7" s="112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05"/>
      <c r="BI7" s="105"/>
      <c r="BJ7" s="105"/>
      <c r="BK7" s="105"/>
    </row>
    <row r="8" spans="1:64" s="2" customFormat="1" ht="20.100000000000001" customHeight="1" x14ac:dyDescent="0.35">
      <c r="A8" s="15">
        <v>1</v>
      </c>
      <c r="B8" s="16" t="s">
        <v>9</v>
      </c>
      <c r="C8" s="17">
        <v>765.6</v>
      </c>
      <c r="D8" s="26">
        <v>329</v>
      </c>
      <c r="E8" s="19" t="e">
        <f>C8+D8+#REF!+#REF!</f>
        <v>#REF!</v>
      </c>
      <c r="F8" s="26">
        <v>2.5</v>
      </c>
      <c r="G8" s="36">
        <v>30</v>
      </c>
      <c r="H8" s="19" t="e">
        <f>F8+G8+#REF!</f>
        <v>#REF!</v>
      </c>
      <c r="I8" s="26">
        <v>23</v>
      </c>
      <c r="J8" s="26">
        <v>0</v>
      </c>
      <c r="K8" s="19">
        <f t="shared" ref="K8:K28" si="0">I8+J8</f>
        <v>23</v>
      </c>
      <c r="L8" s="36">
        <v>159</v>
      </c>
      <c r="M8" s="36">
        <v>20.5</v>
      </c>
      <c r="N8" s="19">
        <f>L8+M8</f>
        <v>179.5</v>
      </c>
      <c r="O8" s="19">
        <f>C8+F8+I8+L8</f>
        <v>950.1</v>
      </c>
      <c r="P8" s="20">
        <f>D8+G8+J8+M8</f>
        <v>379.5</v>
      </c>
      <c r="Q8" s="19">
        <f t="shared" ref="Q8:Q86" si="1">O8+P8</f>
        <v>1329.6</v>
      </c>
      <c r="R8" s="17">
        <v>207.5</v>
      </c>
      <c r="S8" s="17">
        <v>41.25</v>
      </c>
      <c r="T8" s="17">
        <v>2.5</v>
      </c>
      <c r="U8" s="17">
        <v>0</v>
      </c>
      <c r="V8" s="17">
        <v>8.75</v>
      </c>
      <c r="W8" s="17">
        <v>0</v>
      </c>
      <c r="X8" s="17">
        <v>45</v>
      </c>
      <c r="Y8" s="113">
        <v>6</v>
      </c>
      <c r="Z8" s="127">
        <v>120.48000000000002</v>
      </c>
      <c r="AA8" s="127">
        <v>13.299999999999997</v>
      </c>
      <c r="AB8" s="127">
        <v>0</v>
      </c>
      <c r="AC8" s="127">
        <v>6.28</v>
      </c>
      <c r="AD8" s="127">
        <v>0</v>
      </c>
      <c r="AE8" s="127">
        <v>0</v>
      </c>
      <c r="AF8" s="127"/>
      <c r="AG8" s="127"/>
      <c r="AH8" s="127">
        <v>54.74</v>
      </c>
      <c r="AI8" s="127">
        <v>43.79</v>
      </c>
      <c r="AJ8" s="5">
        <v>0.38</v>
      </c>
      <c r="AK8" s="127">
        <v>3.58</v>
      </c>
      <c r="AL8" s="127">
        <v>2.87</v>
      </c>
      <c r="AM8" s="127">
        <v>0</v>
      </c>
      <c r="AN8" s="127">
        <v>34.5</v>
      </c>
      <c r="AO8" s="127">
        <v>0.73</v>
      </c>
      <c r="AP8" s="127">
        <v>191.4</v>
      </c>
      <c r="AQ8" s="127">
        <v>92.35</v>
      </c>
      <c r="AR8" s="127">
        <v>0</v>
      </c>
      <c r="AS8" s="127">
        <v>8.4499999999999993</v>
      </c>
      <c r="AT8" s="127">
        <v>0.99</v>
      </c>
      <c r="AU8" s="127">
        <v>0</v>
      </c>
      <c r="AV8" s="127">
        <v>39.75</v>
      </c>
      <c r="AW8" s="127">
        <v>5.77</v>
      </c>
      <c r="AX8" s="127"/>
      <c r="AY8" s="127"/>
      <c r="AZ8" s="127">
        <f t="shared" ref="AZ8:AZ71" si="2">+AP8+AH8+Z8+R8+AX8</f>
        <v>574.12</v>
      </c>
      <c r="BA8" s="127">
        <f t="shared" ref="BA8:BA55" si="3">+AQ8+AI8+AA8+S8+AY8</f>
        <v>190.69</v>
      </c>
      <c r="BB8" s="127">
        <f t="shared" ref="BB8:BG23" si="4">+AR8+AJ8+AB8+T8</f>
        <v>2.88</v>
      </c>
      <c r="BC8" s="127">
        <f t="shared" si="4"/>
        <v>18.309999999999999</v>
      </c>
      <c r="BD8" s="127">
        <f t="shared" si="4"/>
        <v>12.61</v>
      </c>
      <c r="BE8" s="127">
        <f t="shared" si="4"/>
        <v>0</v>
      </c>
      <c r="BF8" s="127">
        <f t="shared" si="4"/>
        <v>119.25</v>
      </c>
      <c r="BG8" s="127">
        <f t="shared" si="4"/>
        <v>12.5</v>
      </c>
    </row>
    <row r="9" spans="1:64" ht="20.100000000000001" customHeight="1" x14ac:dyDescent="0.35">
      <c r="A9" s="15">
        <v>2</v>
      </c>
      <c r="B9" s="16" t="s">
        <v>10</v>
      </c>
      <c r="C9" s="17">
        <v>173.14</v>
      </c>
      <c r="D9" s="26">
        <v>0</v>
      </c>
      <c r="E9" s="19" t="e">
        <f>C9+D9+#REF!+#REF!</f>
        <v>#REF!</v>
      </c>
      <c r="F9" s="26">
        <v>45</v>
      </c>
      <c r="G9" s="36">
        <v>0</v>
      </c>
      <c r="H9" s="19" t="e">
        <f>F9+G9+#REF!</f>
        <v>#REF!</v>
      </c>
      <c r="I9" s="26">
        <v>8.86</v>
      </c>
      <c r="J9" s="26">
        <v>0</v>
      </c>
      <c r="K9" s="19">
        <f t="shared" si="0"/>
        <v>8.86</v>
      </c>
      <c r="L9" s="36">
        <v>24</v>
      </c>
      <c r="M9" s="36">
        <v>0</v>
      </c>
      <c r="N9" s="19">
        <f t="shared" ref="N9:N88" si="5">L9+M9</f>
        <v>24</v>
      </c>
      <c r="O9" s="19">
        <f>C9+F9+I9+L9</f>
        <v>251</v>
      </c>
      <c r="P9" s="20">
        <f>D9+G9+J9+M9</f>
        <v>0</v>
      </c>
      <c r="Q9" s="19">
        <f t="shared" si="1"/>
        <v>251</v>
      </c>
      <c r="R9" s="17">
        <v>52.5</v>
      </c>
      <c r="S9" s="17">
        <v>0</v>
      </c>
      <c r="T9" s="17">
        <v>45</v>
      </c>
      <c r="U9" s="17">
        <v>0</v>
      </c>
      <c r="V9" s="17">
        <v>19.25</v>
      </c>
      <c r="W9" s="17">
        <v>0</v>
      </c>
      <c r="X9" s="17">
        <v>37.25</v>
      </c>
      <c r="Y9" s="113">
        <v>0</v>
      </c>
      <c r="Z9" s="127">
        <v>21.67</v>
      </c>
      <c r="AA9" s="127">
        <v>0</v>
      </c>
      <c r="AB9" s="127">
        <v>0</v>
      </c>
      <c r="AC9" s="127">
        <v>0</v>
      </c>
      <c r="AD9" s="127">
        <v>0</v>
      </c>
      <c r="AE9" s="127">
        <v>0</v>
      </c>
      <c r="AF9" s="127"/>
      <c r="AG9" s="127"/>
      <c r="AH9" s="127">
        <v>12.38</v>
      </c>
      <c r="AI9" s="127">
        <v>0</v>
      </c>
      <c r="AJ9" s="5">
        <v>6.78</v>
      </c>
      <c r="AK9" s="127">
        <v>0</v>
      </c>
      <c r="AL9" s="127">
        <v>0</v>
      </c>
      <c r="AM9" s="127">
        <v>0</v>
      </c>
      <c r="AN9" s="127">
        <v>-25.25</v>
      </c>
      <c r="AO9" s="127">
        <v>0</v>
      </c>
      <c r="AP9" s="127">
        <v>43.29</v>
      </c>
      <c r="AQ9" s="127">
        <v>0</v>
      </c>
      <c r="AR9" s="127">
        <v>0</v>
      </c>
      <c r="AS9" s="127">
        <v>0</v>
      </c>
      <c r="AT9" s="127">
        <v>0</v>
      </c>
      <c r="AU9" s="127">
        <v>0</v>
      </c>
      <c r="AV9" s="127">
        <v>6</v>
      </c>
      <c r="AW9" s="127">
        <v>0</v>
      </c>
      <c r="AX9" s="127"/>
      <c r="AY9" s="127"/>
      <c r="AZ9" s="127">
        <f t="shared" si="2"/>
        <v>129.84</v>
      </c>
      <c r="BA9" s="127">
        <f t="shared" si="3"/>
        <v>0</v>
      </c>
      <c r="BB9" s="127">
        <f t="shared" si="4"/>
        <v>51.78</v>
      </c>
      <c r="BC9" s="127">
        <f t="shared" si="4"/>
        <v>0</v>
      </c>
      <c r="BD9" s="127">
        <f t="shared" si="4"/>
        <v>19.25</v>
      </c>
      <c r="BE9" s="127">
        <f t="shared" si="4"/>
        <v>0</v>
      </c>
      <c r="BF9" s="127">
        <f t="shared" si="4"/>
        <v>18</v>
      </c>
      <c r="BG9" s="127">
        <f t="shared" si="4"/>
        <v>0</v>
      </c>
      <c r="BH9" s="2"/>
      <c r="BI9" s="2"/>
      <c r="BJ9" s="2"/>
      <c r="BK9" s="2"/>
    </row>
    <row r="10" spans="1:64" s="6" customFormat="1" ht="20.100000000000001" customHeight="1" x14ac:dyDescent="0.3">
      <c r="A10" s="76"/>
      <c r="B10" s="77" t="s">
        <v>9</v>
      </c>
      <c r="C10" s="78">
        <f t="shared" ref="C10:BL10" si="6">+C8+C9</f>
        <v>938.74</v>
      </c>
      <c r="D10" s="78">
        <f t="shared" si="6"/>
        <v>329</v>
      </c>
      <c r="E10" s="78" t="e">
        <f t="shared" si="6"/>
        <v>#REF!</v>
      </c>
      <c r="F10" s="78">
        <f t="shared" si="6"/>
        <v>47.5</v>
      </c>
      <c r="G10" s="78">
        <f t="shared" si="6"/>
        <v>30</v>
      </c>
      <c r="H10" s="78" t="e">
        <f t="shared" si="6"/>
        <v>#REF!</v>
      </c>
      <c r="I10" s="78">
        <f t="shared" si="6"/>
        <v>31.86</v>
      </c>
      <c r="J10" s="78">
        <f t="shared" si="6"/>
        <v>0</v>
      </c>
      <c r="K10" s="78">
        <f t="shared" si="6"/>
        <v>31.86</v>
      </c>
      <c r="L10" s="78">
        <f t="shared" si="6"/>
        <v>183</v>
      </c>
      <c r="M10" s="78">
        <f t="shared" si="6"/>
        <v>20.5</v>
      </c>
      <c r="N10" s="78">
        <f t="shared" si="6"/>
        <v>203.5</v>
      </c>
      <c r="O10" s="78">
        <f t="shared" si="6"/>
        <v>1201.0999999999999</v>
      </c>
      <c r="P10" s="78">
        <f t="shared" si="6"/>
        <v>379.5</v>
      </c>
      <c r="Q10" s="78">
        <f t="shared" si="6"/>
        <v>1580.6</v>
      </c>
      <c r="R10" s="78">
        <f t="shared" si="6"/>
        <v>260</v>
      </c>
      <c r="S10" s="78">
        <f t="shared" si="6"/>
        <v>41.25</v>
      </c>
      <c r="T10" s="78">
        <f t="shared" si="6"/>
        <v>47.5</v>
      </c>
      <c r="U10" s="78">
        <f t="shared" si="6"/>
        <v>0</v>
      </c>
      <c r="V10" s="78">
        <f t="shared" si="6"/>
        <v>28</v>
      </c>
      <c r="W10" s="78">
        <f t="shared" si="6"/>
        <v>0</v>
      </c>
      <c r="X10" s="78">
        <f t="shared" si="6"/>
        <v>82.25</v>
      </c>
      <c r="Y10" s="114">
        <f t="shared" si="6"/>
        <v>6</v>
      </c>
      <c r="Z10" s="78">
        <f t="shared" si="6"/>
        <v>142.15000000000003</v>
      </c>
      <c r="AA10" s="78">
        <f t="shared" si="6"/>
        <v>13.299999999999997</v>
      </c>
      <c r="AB10" s="78">
        <f t="shared" si="6"/>
        <v>0</v>
      </c>
      <c r="AC10" s="78">
        <f t="shared" si="6"/>
        <v>6.28</v>
      </c>
      <c r="AD10" s="78">
        <f t="shared" si="6"/>
        <v>0</v>
      </c>
      <c r="AE10" s="78">
        <f t="shared" si="6"/>
        <v>0</v>
      </c>
      <c r="AF10" s="78">
        <f t="shared" si="6"/>
        <v>0</v>
      </c>
      <c r="AG10" s="78">
        <f t="shared" si="6"/>
        <v>0</v>
      </c>
      <c r="AH10" s="78">
        <f t="shared" si="6"/>
        <v>67.12</v>
      </c>
      <c r="AI10" s="78">
        <f t="shared" si="6"/>
        <v>43.79</v>
      </c>
      <c r="AJ10" s="78">
        <f t="shared" si="6"/>
        <v>7.16</v>
      </c>
      <c r="AK10" s="78">
        <f t="shared" si="6"/>
        <v>3.58</v>
      </c>
      <c r="AL10" s="78">
        <f t="shared" si="6"/>
        <v>2.87</v>
      </c>
      <c r="AM10" s="78">
        <f t="shared" si="6"/>
        <v>0</v>
      </c>
      <c r="AN10" s="78">
        <f t="shared" si="6"/>
        <v>9.25</v>
      </c>
      <c r="AO10" s="78">
        <f t="shared" si="6"/>
        <v>0.73</v>
      </c>
      <c r="AP10" s="78">
        <f t="shared" si="6"/>
        <v>234.69</v>
      </c>
      <c r="AQ10" s="78">
        <f t="shared" si="6"/>
        <v>92.35</v>
      </c>
      <c r="AR10" s="78">
        <f t="shared" si="6"/>
        <v>0</v>
      </c>
      <c r="AS10" s="78">
        <f t="shared" si="6"/>
        <v>8.4499999999999993</v>
      </c>
      <c r="AT10" s="78">
        <f t="shared" si="6"/>
        <v>0.99</v>
      </c>
      <c r="AU10" s="78">
        <f t="shared" si="6"/>
        <v>0</v>
      </c>
      <c r="AV10" s="78">
        <f t="shared" si="6"/>
        <v>45.75</v>
      </c>
      <c r="AW10" s="78">
        <f t="shared" si="6"/>
        <v>5.77</v>
      </c>
      <c r="AX10" s="78">
        <f t="shared" si="6"/>
        <v>0</v>
      </c>
      <c r="AY10" s="78">
        <f t="shared" si="6"/>
        <v>0</v>
      </c>
      <c r="AZ10" s="78">
        <f t="shared" si="6"/>
        <v>703.96</v>
      </c>
      <c r="BA10" s="78">
        <f t="shared" si="6"/>
        <v>190.69</v>
      </c>
      <c r="BB10" s="78">
        <f t="shared" si="6"/>
        <v>54.660000000000004</v>
      </c>
      <c r="BC10" s="78">
        <f t="shared" si="6"/>
        <v>18.309999999999999</v>
      </c>
      <c r="BD10" s="78">
        <f t="shared" si="6"/>
        <v>31.86</v>
      </c>
      <c r="BE10" s="78">
        <f t="shared" si="6"/>
        <v>0</v>
      </c>
      <c r="BF10" s="78">
        <f t="shared" si="6"/>
        <v>137.25</v>
      </c>
      <c r="BG10" s="78">
        <f t="shared" si="6"/>
        <v>12.5</v>
      </c>
      <c r="BH10" s="78"/>
      <c r="BI10" s="78"/>
      <c r="BJ10" s="78"/>
      <c r="BK10" s="78"/>
      <c r="BL10" s="78">
        <f t="shared" si="6"/>
        <v>0</v>
      </c>
    </row>
    <row r="11" spans="1:64" ht="20.100000000000001" customHeight="1" x14ac:dyDescent="0.35">
      <c r="A11" s="15">
        <v>3</v>
      </c>
      <c r="B11" s="16" t="s">
        <v>11</v>
      </c>
      <c r="C11" s="17">
        <v>747.62</v>
      </c>
      <c r="D11" s="26">
        <v>134.55000000000001</v>
      </c>
      <c r="E11" s="19" t="e">
        <f>C11+D11+#REF!+#REF!</f>
        <v>#REF!</v>
      </c>
      <c r="F11" s="26">
        <v>9</v>
      </c>
      <c r="G11" s="36">
        <v>20</v>
      </c>
      <c r="H11" s="19"/>
      <c r="I11" s="26">
        <v>35.78</v>
      </c>
      <c r="J11" s="26">
        <v>0</v>
      </c>
      <c r="K11" s="19"/>
      <c r="L11" s="36">
        <v>61.05</v>
      </c>
      <c r="M11" s="36">
        <v>8</v>
      </c>
      <c r="N11" s="19">
        <f t="shared" si="5"/>
        <v>69.05</v>
      </c>
      <c r="O11" s="19">
        <f>C11+F11+I11+L11</f>
        <v>853.44999999999993</v>
      </c>
      <c r="P11" s="20">
        <f>D11+G11+J11+M11</f>
        <v>162.55000000000001</v>
      </c>
      <c r="Q11" s="19">
        <f t="shared" si="1"/>
        <v>1016</v>
      </c>
      <c r="R11" s="17">
        <v>167</v>
      </c>
      <c r="S11" s="17">
        <v>3.75</v>
      </c>
      <c r="T11" s="17">
        <v>3</v>
      </c>
      <c r="U11" s="17">
        <v>0</v>
      </c>
      <c r="V11" s="17">
        <v>7.75</v>
      </c>
      <c r="W11" s="17">
        <v>0</v>
      </c>
      <c r="X11" s="17">
        <v>25</v>
      </c>
      <c r="Y11" s="113">
        <v>1.5</v>
      </c>
      <c r="Z11" s="127">
        <v>153.27999999999997</v>
      </c>
      <c r="AA11" s="127">
        <v>12.649999999999999</v>
      </c>
      <c r="AB11" s="127">
        <v>0.14000000000000012</v>
      </c>
      <c r="AC11" s="127">
        <v>4.18</v>
      </c>
      <c r="AD11" s="127">
        <v>6.92</v>
      </c>
      <c r="AE11" s="127">
        <v>0</v>
      </c>
      <c r="AF11" s="127"/>
      <c r="AG11" s="127"/>
      <c r="AH11" s="127">
        <v>53.45</v>
      </c>
      <c r="AI11" s="127">
        <v>17.91</v>
      </c>
      <c r="AJ11" s="127">
        <v>1.36</v>
      </c>
      <c r="AK11" s="127">
        <v>2.39</v>
      </c>
      <c r="AL11" s="127">
        <v>3.22</v>
      </c>
      <c r="AM11" s="127">
        <v>0</v>
      </c>
      <c r="AN11" s="127">
        <v>5.5200000000000005</v>
      </c>
      <c r="AO11" s="127">
        <v>1.1299999999999999</v>
      </c>
      <c r="AP11" s="127">
        <v>186.91</v>
      </c>
      <c r="AQ11" s="127">
        <v>37.770000000000003</v>
      </c>
      <c r="AR11" s="127">
        <v>2.25</v>
      </c>
      <c r="AS11" s="127">
        <v>5.63</v>
      </c>
      <c r="AT11" s="127">
        <v>8.9499999999999993</v>
      </c>
      <c r="AU11" s="127">
        <v>0</v>
      </c>
      <c r="AV11" s="127">
        <v>15.26</v>
      </c>
      <c r="AW11" s="127">
        <v>2.25</v>
      </c>
      <c r="AX11" s="127"/>
      <c r="AY11" s="127"/>
      <c r="AZ11" s="127">
        <f t="shared" si="2"/>
        <v>560.64</v>
      </c>
      <c r="BA11" s="127">
        <f t="shared" si="3"/>
        <v>72.080000000000013</v>
      </c>
      <c r="BB11" s="127">
        <f t="shared" si="4"/>
        <v>6.75</v>
      </c>
      <c r="BC11" s="127">
        <f t="shared" si="4"/>
        <v>12.2</v>
      </c>
      <c r="BD11" s="127">
        <f t="shared" si="4"/>
        <v>26.84</v>
      </c>
      <c r="BE11" s="127">
        <f t="shared" si="4"/>
        <v>0</v>
      </c>
      <c r="BF11" s="127">
        <f t="shared" si="4"/>
        <v>45.78</v>
      </c>
      <c r="BG11" s="127">
        <f t="shared" si="4"/>
        <v>4.88</v>
      </c>
      <c r="BH11" s="2"/>
      <c r="BI11" s="2"/>
      <c r="BJ11" s="2"/>
      <c r="BK11" s="2"/>
    </row>
    <row r="12" spans="1:64" ht="20.100000000000001" customHeight="1" x14ac:dyDescent="0.35">
      <c r="A12" s="15">
        <v>4</v>
      </c>
      <c r="B12" s="16" t="s">
        <v>12</v>
      </c>
      <c r="C12" s="25">
        <v>107</v>
      </c>
      <c r="D12" s="26">
        <v>0</v>
      </c>
      <c r="E12" s="19" t="e">
        <f>C12+D12+#REF!+#REF!</f>
        <v>#REF!</v>
      </c>
      <c r="F12" s="26">
        <v>9.9</v>
      </c>
      <c r="G12" s="36">
        <v>0</v>
      </c>
      <c r="H12" s="19"/>
      <c r="I12" s="26">
        <v>7</v>
      </c>
      <c r="J12" s="26">
        <v>0</v>
      </c>
      <c r="K12" s="19"/>
      <c r="L12" s="36">
        <v>7</v>
      </c>
      <c r="M12" s="36">
        <v>0</v>
      </c>
      <c r="N12" s="19">
        <f t="shared" si="5"/>
        <v>7</v>
      </c>
      <c r="O12" s="19">
        <f>C12+F12+I12+L12</f>
        <v>130.9</v>
      </c>
      <c r="P12" s="20">
        <f>D12+G12+J12+M12</f>
        <v>0</v>
      </c>
      <c r="Q12" s="19">
        <f t="shared" si="1"/>
        <v>130.9</v>
      </c>
      <c r="R12" s="17">
        <v>20.75</v>
      </c>
      <c r="S12" s="17">
        <v>0</v>
      </c>
      <c r="T12" s="17">
        <v>3</v>
      </c>
      <c r="U12" s="17">
        <v>0</v>
      </c>
      <c r="V12" s="17">
        <v>1.5</v>
      </c>
      <c r="W12" s="17">
        <v>0</v>
      </c>
      <c r="X12" s="17">
        <v>2.38</v>
      </c>
      <c r="Y12" s="113">
        <v>0</v>
      </c>
      <c r="Z12" s="127">
        <v>25.090000000000003</v>
      </c>
      <c r="AA12" s="127">
        <v>0</v>
      </c>
      <c r="AB12" s="127">
        <v>0.45999999999999996</v>
      </c>
      <c r="AC12" s="127">
        <v>0</v>
      </c>
      <c r="AD12" s="127">
        <v>1.37</v>
      </c>
      <c r="AE12" s="127">
        <v>0</v>
      </c>
      <c r="AF12" s="127"/>
      <c r="AG12" s="127"/>
      <c r="AH12" s="127">
        <v>7.65</v>
      </c>
      <c r="AI12" s="127">
        <v>0</v>
      </c>
      <c r="AJ12" s="127">
        <v>1.49</v>
      </c>
      <c r="AK12" s="127">
        <v>0</v>
      </c>
      <c r="AL12" s="127">
        <v>0.63</v>
      </c>
      <c r="AM12" s="127">
        <v>0</v>
      </c>
      <c r="AN12" s="127">
        <v>1.1200000000000001</v>
      </c>
      <c r="AO12" s="127">
        <v>0</v>
      </c>
      <c r="AP12" s="127">
        <v>26.75</v>
      </c>
      <c r="AQ12" s="127">
        <v>0</v>
      </c>
      <c r="AR12" s="127">
        <v>2.48</v>
      </c>
      <c r="AS12" s="127">
        <v>0</v>
      </c>
      <c r="AT12" s="127">
        <v>1.75</v>
      </c>
      <c r="AU12" s="127">
        <v>0</v>
      </c>
      <c r="AV12" s="127">
        <v>1.75</v>
      </c>
      <c r="AW12" s="127">
        <v>0</v>
      </c>
      <c r="AX12" s="127"/>
      <c r="AY12" s="127"/>
      <c r="AZ12" s="127">
        <f t="shared" si="2"/>
        <v>80.240000000000009</v>
      </c>
      <c r="BA12" s="127">
        <f t="shared" si="3"/>
        <v>0</v>
      </c>
      <c r="BB12" s="127">
        <f t="shared" si="4"/>
        <v>7.43</v>
      </c>
      <c r="BC12" s="127">
        <f t="shared" si="4"/>
        <v>0</v>
      </c>
      <c r="BD12" s="127">
        <f t="shared" si="4"/>
        <v>5.25</v>
      </c>
      <c r="BE12" s="127">
        <f t="shared" si="4"/>
        <v>0</v>
      </c>
      <c r="BF12" s="127">
        <f t="shared" si="4"/>
        <v>5.25</v>
      </c>
      <c r="BG12" s="127">
        <f t="shared" si="4"/>
        <v>0</v>
      </c>
      <c r="BH12" s="2"/>
      <c r="BI12" s="2"/>
      <c r="BJ12" s="2"/>
      <c r="BK12" s="2"/>
    </row>
    <row r="13" spans="1:64" s="6" customFormat="1" ht="20.100000000000001" customHeight="1" x14ac:dyDescent="0.3">
      <c r="A13" s="76"/>
      <c r="B13" s="77" t="s">
        <v>11</v>
      </c>
      <c r="C13" s="79">
        <f>+C11+C12</f>
        <v>854.62</v>
      </c>
      <c r="D13" s="79">
        <f t="shared" ref="D13:X13" si="7">+D11+D12</f>
        <v>134.55000000000001</v>
      </c>
      <c r="E13" s="79" t="e">
        <f t="shared" si="7"/>
        <v>#REF!</v>
      </c>
      <c r="F13" s="79">
        <f t="shared" si="7"/>
        <v>18.899999999999999</v>
      </c>
      <c r="G13" s="79">
        <f t="shared" si="7"/>
        <v>20</v>
      </c>
      <c r="H13" s="79">
        <f t="shared" si="7"/>
        <v>0</v>
      </c>
      <c r="I13" s="79">
        <f t="shared" si="7"/>
        <v>42.78</v>
      </c>
      <c r="J13" s="79">
        <f t="shared" si="7"/>
        <v>0</v>
      </c>
      <c r="K13" s="79">
        <f t="shared" si="7"/>
        <v>0</v>
      </c>
      <c r="L13" s="79">
        <f t="shared" si="7"/>
        <v>68.05</v>
      </c>
      <c r="M13" s="79">
        <f t="shared" si="7"/>
        <v>8</v>
      </c>
      <c r="N13" s="79">
        <f t="shared" si="7"/>
        <v>76.05</v>
      </c>
      <c r="O13" s="79">
        <f t="shared" si="7"/>
        <v>984.34999999999991</v>
      </c>
      <c r="P13" s="79">
        <f t="shared" si="7"/>
        <v>162.55000000000001</v>
      </c>
      <c r="Q13" s="79">
        <f t="shared" si="7"/>
        <v>1146.9000000000001</v>
      </c>
      <c r="R13" s="79">
        <f t="shared" si="7"/>
        <v>187.75</v>
      </c>
      <c r="S13" s="79">
        <f t="shared" si="7"/>
        <v>3.75</v>
      </c>
      <c r="T13" s="79">
        <f t="shared" si="7"/>
        <v>6</v>
      </c>
      <c r="U13" s="79">
        <f t="shared" si="7"/>
        <v>0</v>
      </c>
      <c r="V13" s="79">
        <f t="shared" si="7"/>
        <v>9.25</v>
      </c>
      <c r="W13" s="79">
        <f t="shared" si="7"/>
        <v>0</v>
      </c>
      <c r="X13" s="79">
        <f t="shared" si="7"/>
        <v>27.38</v>
      </c>
      <c r="Y13" s="115">
        <f t="shared" ref="Y13" si="8">+Y11+Y12</f>
        <v>1.5</v>
      </c>
      <c r="Z13" s="79">
        <f t="shared" ref="Z13" si="9">+Z11+Z12</f>
        <v>178.36999999999998</v>
      </c>
      <c r="AA13" s="79">
        <f t="shared" ref="AA13" si="10">+AA11+AA12</f>
        <v>12.649999999999999</v>
      </c>
      <c r="AB13" s="79">
        <f t="shared" ref="AB13" si="11">+AB11+AB12</f>
        <v>0.60000000000000009</v>
      </c>
      <c r="AC13" s="79">
        <f t="shared" ref="AC13" si="12">+AC11+AC12</f>
        <v>4.18</v>
      </c>
      <c r="AD13" s="79">
        <f t="shared" ref="AD13" si="13">+AD11+AD12</f>
        <v>8.2899999999999991</v>
      </c>
      <c r="AE13" s="79">
        <f t="shared" ref="AE13" si="14">+AE11+AE12</f>
        <v>0</v>
      </c>
      <c r="AF13" s="79">
        <f t="shared" ref="AF13" si="15">+AF11+AF12</f>
        <v>0</v>
      </c>
      <c r="AG13" s="79">
        <f t="shared" ref="AG13" si="16">+AG11+AG12</f>
        <v>0</v>
      </c>
      <c r="AH13" s="79">
        <f t="shared" ref="AH13" si="17">+AH11+AH12</f>
        <v>61.1</v>
      </c>
      <c r="AI13" s="79">
        <f t="shared" ref="AI13" si="18">+AI11+AI12</f>
        <v>17.91</v>
      </c>
      <c r="AJ13" s="79">
        <f t="shared" ref="AJ13" si="19">+AJ11+AJ12</f>
        <v>2.85</v>
      </c>
      <c r="AK13" s="79">
        <f t="shared" ref="AK13" si="20">+AK11+AK12</f>
        <v>2.39</v>
      </c>
      <c r="AL13" s="79">
        <f t="shared" ref="AL13" si="21">+AL11+AL12</f>
        <v>3.85</v>
      </c>
      <c r="AM13" s="79">
        <f t="shared" ref="AM13" si="22">+AM11+AM12</f>
        <v>0</v>
      </c>
      <c r="AN13" s="79">
        <f t="shared" ref="AN13" si="23">+AN11+AN12</f>
        <v>6.6400000000000006</v>
      </c>
      <c r="AO13" s="79">
        <f t="shared" ref="AO13" si="24">+AO11+AO12</f>
        <v>1.1299999999999999</v>
      </c>
      <c r="AP13" s="79">
        <f t="shared" ref="AP13" si="25">+AP11+AP12</f>
        <v>213.66</v>
      </c>
      <c r="AQ13" s="79">
        <f t="shared" ref="AQ13" si="26">+AQ11+AQ12</f>
        <v>37.770000000000003</v>
      </c>
      <c r="AR13" s="79">
        <f t="shared" ref="AR13" si="27">+AR11+AR12</f>
        <v>4.7300000000000004</v>
      </c>
      <c r="AS13" s="79">
        <f t="shared" ref="AS13" si="28">+AS11+AS12</f>
        <v>5.63</v>
      </c>
      <c r="AT13" s="79">
        <f t="shared" ref="AT13:BA13" si="29">+AT11+AT12</f>
        <v>10.7</v>
      </c>
      <c r="AU13" s="79">
        <f t="shared" si="29"/>
        <v>0</v>
      </c>
      <c r="AV13" s="79">
        <f t="shared" si="29"/>
        <v>17.009999999999998</v>
      </c>
      <c r="AW13" s="79">
        <f t="shared" si="29"/>
        <v>2.25</v>
      </c>
      <c r="AX13" s="79">
        <f t="shared" si="29"/>
        <v>0</v>
      </c>
      <c r="AY13" s="79">
        <f t="shared" si="29"/>
        <v>0</v>
      </c>
      <c r="AZ13" s="79">
        <f t="shared" si="29"/>
        <v>640.88</v>
      </c>
      <c r="BA13" s="79">
        <f t="shared" si="29"/>
        <v>72.080000000000013</v>
      </c>
      <c r="BB13" s="79">
        <f t="shared" ref="BB13:BG13" si="30">+BB11+BB12</f>
        <v>14.18</v>
      </c>
      <c r="BC13" s="79">
        <f t="shared" si="30"/>
        <v>12.2</v>
      </c>
      <c r="BD13" s="79">
        <f t="shared" si="30"/>
        <v>32.090000000000003</v>
      </c>
      <c r="BE13" s="79">
        <f t="shared" si="30"/>
        <v>0</v>
      </c>
      <c r="BF13" s="79">
        <f t="shared" si="30"/>
        <v>51.03</v>
      </c>
      <c r="BG13" s="79">
        <f t="shared" si="30"/>
        <v>4.88</v>
      </c>
      <c r="BH13" s="79"/>
      <c r="BI13" s="79"/>
      <c r="BJ13" s="79"/>
      <c r="BK13" s="79"/>
    </row>
    <row r="14" spans="1:64" ht="20.100000000000001" customHeight="1" x14ac:dyDescent="0.35">
      <c r="A14" s="15">
        <v>5</v>
      </c>
      <c r="B14" s="16" t="s">
        <v>13</v>
      </c>
      <c r="C14" s="17">
        <v>1120</v>
      </c>
      <c r="D14" s="26">
        <v>370</v>
      </c>
      <c r="E14" s="19" t="e">
        <f>C14+D14+#REF!+#REF!</f>
        <v>#REF!</v>
      </c>
      <c r="F14" s="26">
        <v>69.5</v>
      </c>
      <c r="G14" s="36">
        <v>40</v>
      </c>
      <c r="H14" s="19"/>
      <c r="I14" s="26">
        <v>70</v>
      </c>
      <c r="J14" s="26">
        <v>3</v>
      </c>
      <c r="K14" s="19"/>
      <c r="L14" s="36">
        <v>91</v>
      </c>
      <c r="M14" s="36">
        <v>30</v>
      </c>
      <c r="N14" s="19">
        <f t="shared" si="5"/>
        <v>121</v>
      </c>
      <c r="O14" s="19">
        <f>C14+F14+I14+L14</f>
        <v>1350.5</v>
      </c>
      <c r="P14" s="20">
        <f>D14+G14+J14+M14</f>
        <v>443</v>
      </c>
      <c r="Q14" s="19">
        <f t="shared" si="1"/>
        <v>1793.5</v>
      </c>
      <c r="R14" s="17">
        <v>285.5</v>
      </c>
      <c r="S14" s="17">
        <v>52.5</v>
      </c>
      <c r="T14" s="17">
        <v>2.5</v>
      </c>
      <c r="U14" s="17">
        <v>0</v>
      </c>
      <c r="V14" s="17">
        <v>18</v>
      </c>
      <c r="W14" s="17">
        <v>3</v>
      </c>
      <c r="X14" s="17">
        <v>80</v>
      </c>
      <c r="Y14" s="113">
        <v>30</v>
      </c>
      <c r="Z14" s="127">
        <v>194.31</v>
      </c>
      <c r="AA14" s="127">
        <v>10.090000000000003</v>
      </c>
      <c r="AB14" s="127">
        <v>14.970000000000002</v>
      </c>
      <c r="AC14" s="127">
        <v>8.3699999999999992</v>
      </c>
      <c r="AD14" s="127">
        <v>10.7</v>
      </c>
      <c r="AE14" s="127">
        <v>0</v>
      </c>
      <c r="AF14" s="127"/>
      <c r="AG14" s="127"/>
      <c r="AH14" s="127">
        <v>80.08</v>
      </c>
      <c r="AI14" s="127">
        <v>49.25</v>
      </c>
      <c r="AJ14" s="127">
        <v>10.47</v>
      </c>
      <c r="AK14" s="127">
        <v>4.7699999999999996</v>
      </c>
      <c r="AL14" s="127">
        <v>6.3</v>
      </c>
      <c r="AM14" s="127">
        <v>0.46</v>
      </c>
      <c r="AN14" s="127">
        <v>0</v>
      </c>
      <c r="AO14" s="127">
        <v>0</v>
      </c>
      <c r="AP14" s="127">
        <v>280</v>
      </c>
      <c r="AQ14" s="127">
        <v>103.86</v>
      </c>
      <c r="AR14" s="127">
        <v>17.38</v>
      </c>
      <c r="AS14" s="127">
        <v>11.26</v>
      </c>
      <c r="AT14" s="127">
        <v>17.5</v>
      </c>
      <c r="AU14" s="127">
        <v>0</v>
      </c>
      <c r="AV14" s="127">
        <v>11</v>
      </c>
      <c r="AW14" s="127">
        <v>0</v>
      </c>
      <c r="AX14" s="127"/>
      <c r="AY14" s="127"/>
      <c r="AZ14" s="127">
        <f t="shared" si="2"/>
        <v>839.89</v>
      </c>
      <c r="BA14" s="127">
        <f t="shared" si="3"/>
        <v>215.70000000000002</v>
      </c>
      <c r="BB14" s="127">
        <f t="shared" si="4"/>
        <v>45.320000000000007</v>
      </c>
      <c r="BC14" s="127">
        <f t="shared" si="4"/>
        <v>24.4</v>
      </c>
      <c r="BD14" s="127">
        <f t="shared" si="4"/>
        <v>52.5</v>
      </c>
      <c r="BE14" s="127">
        <f t="shared" si="4"/>
        <v>3.46</v>
      </c>
      <c r="BF14" s="127">
        <f t="shared" si="4"/>
        <v>91</v>
      </c>
      <c r="BG14" s="127">
        <f t="shared" si="4"/>
        <v>30</v>
      </c>
      <c r="BH14" s="2"/>
      <c r="BI14" s="2"/>
      <c r="BJ14" s="2"/>
      <c r="BK14" s="2"/>
    </row>
    <row r="15" spans="1:64" ht="20.100000000000001" customHeight="1" x14ac:dyDescent="0.35">
      <c r="A15" s="15">
        <v>6</v>
      </c>
      <c r="B15" s="16" t="s">
        <v>14</v>
      </c>
      <c r="C15" s="21">
        <v>1080</v>
      </c>
      <c r="D15" s="26">
        <v>313</v>
      </c>
      <c r="E15" s="19" t="e">
        <f>C15+D15+#REF!+#REF!</f>
        <v>#REF!</v>
      </c>
      <c r="F15" s="26">
        <v>0</v>
      </c>
      <c r="G15" s="36">
        <v>0</v>
      </c>
      <c r="H15" s="19"/>
      <c r="I15" s="26">
        <v>0</v>
      </c>
      <c r="J15" s="26">
        <v>0</v>
      </c>
      <c r="K15" s="19"/>
      <c r="L15" s="36">
        <v>0</v>
      </c>
      <c r="M15" s="36">
        <v>0</v>
      </c>
      <c r="N15" s="19">
        <f t="shared" si="5"/>
        <v>0</v>
      </c>
      <c r="O15" s="19">
        <f>C15+F15+I15+L15</f>
        <v>1080</v>
      </c>
      <c r="P15" s="20">
        <f>D15+G15+J15+M15</f>
        <v>313</v>
      </c>
      <c r="Q15" s="19">
        <f t="shared" si="1"/>
        <v>1393</v>
      </c>
      <c r="R15" s="17">
        <v>185</v>
      </c>
      <c r="S15" s="17">
        <v>55.5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13">
        <v>0</v>
      </c>
      <c r="Z15" s="127">
        <v>277.67</v>
      </c>
      <c r="AA15" s="127">
        <v>5.9099999999999966</v>
      </c>
      <c r="AB15" s="127">
        <v>0</v>
      </c>
      <c r="AC15" s="127">
        <v>0</v>
      </c>
      <c r="AD15" s="127">
        <v>0</v>
      </c>
      <c r="AE15" s="127">
        <v>0</v>
      </c>
      <c r="AF15" s="127"/>
      <c r="AG15" s="127"/>
      <c r="AH15" s="127">
        <v>77.22</v>
      </c>
      <c r="AI15" s="127">
        <v>41.66</v>
      </c>
      <c r="AJ15" s="127">
        <v>0</v>
      </c>
      <c r="AK15" s="127">
        <v>0</v>
      </c>
      <c r="AL15" s="127">
        <v>0</v>
      </c>
      <c r="AM15" s="127">
        <v>0</v>
      </c>
      <c r="AN15" s="127">
        <v>0</v>
      </c>
      <c r="AO15" s="127">
        <v>0</v>
      </c>
      <c r="AP15" s="127">
        <v>270</v>
      </c>
      <c r="AQ15" s="127">
        <v>87.86</v>
      </c>
      <c r="AR15" s="127">
        <v>0</v>
      </c>
      <c r="AS15" s="127">
        <v>0</v>
      </c>
      <c r="AT15" s="127">
        <v>0</v>
      </c>
      <c r="AU15" s="127">
        <v>0</v>
      </c>
      <c r="AV15" s="127">
        <v>0</v>
      </c>
      <c r="AW15" s="127">
        <v>0</v>
      </c>
      <c r="AX15" s="127"/>
      <c r="AY15" s="127"/>
      <c r="AZ15" s="127">
        <f t="shared" si="2"/>
        <v>809.8900000000001</v>
      </c>
      <c r="BA15" s="127">
        <f t="shared" si="3"/>
        <v>190.92999999999998</v>
      </c>
      <c r="BB15" s="127">
        <f t="shared" si="4"/>
        <v>0</v>
      </c>
      <c r="BC15" s="127">
        <f t="shared" si="4"/>
        <v>0</v>
      </c>
      <c r="BD15" s="127">
        <f t="shared" si="4"/>
        <v>0</v>
      </c>
      <c r="BE15" s="127">
        <f t="shared" si="4"/>
        <v>0</v>
      </c>
      <c r="BF15" s="127">
        <f t="shared" si="4"/>
        <v>0</v>
      </c>
      <c r="BG15" s="127">
        <f t="shared" si="4"/>
        <v>0</v>
      </c>
      <c r="BH15" s="2"/>
      <c r="BI15" s="2"/>
      <c r="BJ15" s="2"/>
      <c r="BK15" s="2"/>
    </row>
    <row r="16" spans="1:64" s="6" customFormat="1" ht="20.100000000000001" customHeight="1" x14ac:dyDescent="0.3">
      <c r="A16" s="76"/>
      <c r="B16" s="77" t="s">
        <v>13</v>
      </c>
      <c r="C16" s="80">
        <f>+C14+C15</f>
        <v>2200</v>
      </c>
      <c r="D16" s="80">
        <f t="shared" ref="D16:Y16" si="31">+D14+D15</f>
        <v>683</v>
      </c>
      <c r="E16" s="80" t="e">
        <f t="shared" si="31"/>
        <v>#REF!</v>
      </c>
      <c r="F16" s="80">
        <f t="shared" si="31"/>
        <v>69.5</v>
      </c>
      <c r="G16" s="80">
        <f t="shared" si="31"/>
        <v>40</v>
      </c>
      <c r="H16" s="80">
        <f t="shared" si="31"/>
        <v>0</v>
      </c>
      <c r="I16" s="80">
        <f t="shared" si="31"/>
        <v>70</v>
      </c>
      <c r="J16" s="80">
        <f t="shared" si="31"/>
        <v>3</v>
      </c>
      <c r="K16" s="80">
        <f t="shared" si="31"/>
        <v>0</v>
      </c>
      <c r="L16" s="80">
        <f t="shared" si="31"/>
        <v>91</v>
      </c>
      <c r="M16" s="80">
        <f t="shared" si="31"/>
        <v>30</v>
      </c>
      <c r="N16" s="80">
        <f t="shared" si="31"/>
        <v>121</v>
      </c>
      <c r="O16" s="80">
        <f t="shared" si="31"/>
        <v>2430.5</v>
      </c>
      <c r="P16" s="80">
        <f t="shared" si="31"/>
        <v>756</v>
      </c>
      <c r="Q16" s="80">
        <f t="shared" si="31"/>
        <v>3186.5</v>
      </c>
      <c r="R16" s="80">
        <f t="shared" si="31"/>
        <v>470.5</v>
      </c>
      <c r="S16" s="80">
        <f t="shared" si="31"/>
        <v>108</v>
      </c>
      <c r="T16" s="80">
        <f t="shared" si="31"/>
        <v>2.5</v>
      </c>
      <c r="U16" s="80">
        <f t="shared" si="31"/>
        <v>0</v>
      </c>
      <c r="V16" s="80">
        <f t="shared" si="31"/>
        <v>18</v>
      </c>
      <c r="W16" s="80">
        <f t="shared" si="31"/>
        <v>3</v>
      </c>
      <c r="X16" s="80">
        <f t="shared" si="31"/>
        <v>80</v>
      </c>
      <c r="Y16" s="116">
        <f t="shared" si="31"/>
        <v>30</v>
      </c>
      <c r="Z16" s="80">
        <f t="shared" ref="Z16" si="32">+Z14+Z15</f>
        <v>471.98</v>
      </c>
      <c r="AA16" s="80">
        <f t="shared" ref="AA16" si="33">+AA14+AA15</f>
        <v>16</v>
      </c>
      <c r="AB16" s="80">
        <f t="shared" ref="AB16" si="34">+AB14+AB15</f>
        <v>14.970000000000002</v>
      </c>
      <c r="AC16" s="80">
        <f t="shared" ref="AC16" si="35">+AC14+AC15</f>
        <v>8.3699999999999992</v>
      </c>
      <c r="AD16" s="80">
        <f t="shared" ref="AD16" si="36">+AD14+AD15</f>
        <v>10.7</v>
      </c>
      <c r="AE16" s="80">
        <f t="shared" ref="AE16" si="37">+AE14+AE15</f>
        <v>0</v>
      </c>
      <c r="AF16" s="80">
        <f t="shared" ref="AF16" si="38">+AF14+AF15</f>
        <v>0</v>
      </c>
      <c r="AG16" s="80">
        <f t="shared" ref="AG16" si="39">+AG14+AG15</f>
        <v>0</v>
      </c>
      <c r="AH16" s="80">
        <f t="shared" ref="AH16" si="40">+AH14+AH15</f>
        <v>157.30000000000001</v>
      </c>
      <c r="AI16" s="80">
        <f t="shared" ref="AI16" si="41">+AI14+AI15</f>
        <v>90.91</v>
      </c>
      <c r="AJ16" s="80">
        <f t="shared" ref="AJ16" si="42">+AJ14+AJ15</f>
        <v>10.47</v>
      </c>
      <c r="AK16" s="80">
        <f t="shared" ref="AK16" si="43">+AK14+AK15</f>
        <v>4.7699999999999996</v>
      </c>
      <c r="AL16" s="80">
        <f t="shared" ref="AL16" si="44">+AL14+AL15</f>
        <v>6.3</v>
      </c>
      <c r="AM16" s="80">
        <f t="shared" ref="AM16" si="45">+AM14+AM15</f>
        <v>0.46</v>
      </c>
      <c r="AN16" s="80">
        <f t="shared" ref="AN16" si="46">+AN14+AN15</f>
        <v>0</v>
      </c>
      <c r="AO16" s="80">
        <f t="shared" ref="AO16" si="47">+AO14+AO15</f>
        <v>0</v>
      </c>
      <c r="AP16" s="80">
        <f t="shared" ref="AP16" si="48">+AP14+AP15</f>
        <v>550</v>
      </c>
      <c r="AQ16" s="80">
        <f t="shared" ref="AQ16" si="49">+AQ14+AQ15</f>
        <v>191.72</v>
      </c>
      <c r="AR16" s="80">
        <f t="shared" ref="AR16" si="50">+AR14+AR15</f>
        <v>17.38</v>
      </c>
      <c r="AS16" s="80">
        <f t="shared" ref="AS16" si="51">+AS14+AS15</f>
        <v>11.26</v>
      </c>
      <c r="AT16" s="80">
        <f t="shared" ref="AT16" si="52">+AT14+AT15</f>
        <v>17.5</v>
      </c>
      <c r="AU16" s="80">
        <f t="shared" ref="AU16" si="53">+AU14+AU15</f>
        <v>0</v>
      </c>
      <c r="AV16" s="80">
        <f t="shared" ref="AV16:BG16" si="54">+AV14+AV15</f>
        <v>11</v>
      </c>
      <c r="AW16" s="80">
        <f t="shared" si="54"/>
        <v>0</v>
      </c>
      <c r="AX16" s="80">
        <f t="shared" si="54"/>
        <v>0</v>
      </c>
      <c r="AY16" s="80">
        <f t="shared" si="54"/>
        <v>0</v>
      </c>
      <c r="AZ16" s="80">
        <f t="shared" si="54"/>
        <v>1649.7800000000002</v>
      </c>
      <c r="BA16" s="80">
        <f t="shared" si="54"/>
        <v>406.63</v>
      </c>
      <c r="BB16" s="80">
        <f t="shared" si="54"/>
        <v>45.320000000000007</v>
      </c>
      <c r="BC16" s="80">
        <f t="shared" si="54"/>
        <v>24.4</v>
      </c>
      <c r="BD16" s="80">
        <f t="shared" si="54"/>
        <v>52.5</v>
      </c>
      <c r="BE16" s="80">
        <f t="shared" si="54"/>
        <v>3.46</v>
      </c>
      <c r="BF16" s="80">
        <f t="shared" si="54"/>
        <v>91</v>
      </c>
      <c r="BG16" s="80">
        <f t="shared" si="54"/>
        <v>30</v>
      </c>
      <c r="BH16" s="80"/>
      <c r="BI16" s="80"/>
      <c r="BJ16" s="80"/>
      <c r="BK16" s="80"/>
    </row>
    <row r="17" spans="1:64" ht="20.100000000000001" customHeight="1" x14ac:dyDescent="0.35">
      <c r="A17" s="15">
        <v>7</v>
      </c>
      <c r="B17" s="16" t="s">
        <v>15</v>
      </c>
      <c r="C17" s="21">
        <v>432</v>
      </c>
      <c r="D17" s="26">
        <v>41</v>
      </c>
      <c r="E17" s="19" t="e">
        <f>C17+D17+#REF!+#REF!</f>
        <v>#REF!</v>
      </c>
      <c r="F17" s="26">
        <v>0</v>
      </c>
      <c r="G17" s="36">
        <v>20</v>
      </c>
      <c r="H17" s="19"/>
      <c r="I17" s="26">
        <v>21</v>
      </c>
      <c r="J17" s="26">
        <v>0</v>
      </c>
      <c r="K17" s="19"/>
      <c r="L17" s="36">
        <v>85</v>
      </c>
      <c r="M17" s="36">
        <v>10</v>
      </c>
      <c r="N17" s="19">
        <f t="shared" si="5"/>
        <v>95</v>
      </c>
      <c r="O17" s="19">
        <f>C17+F17+I17+L17</f>
        <v>538</v>
      </c>
      <c r="P17" s="20">
        <f>D17+G17+J17+M17</f>
        <v>71</v>
      </c>
      <c r="Q17" s="19">
        <f t="shared" si="1"/>
        <v>609</v>
      </c>
      <c r="R17" s="17">
        <v>102.5</v>
      </c>
      <c r="S17" s="17">
        <v>0.94</v>
      </c>
      <c r="T17" s="17">
        <v>0</v>
      </c>
      <c r="U17" s="17">
        <v>0</v>
      </c>
      <c r="V17" s="17">
        <v>5.25</v>
      </c>
      <c r="W17" s="17">
        <v>0</v>
      </c>
      <c r="X17" s="17">
        <v>21.25</v>
      </c>
      <c r="Y17" s="113">
        <v>1.5</v>
      </c>
      <c r="Z17" s="127">
        <v>82.57</v>
      </c>
      <c r="AA17" s="127">
        <v>7.1</v>
      </c>
      <c r="AB17" s="127">
        <v>0</v>
      </c>
      <c r="AC17" s="127">
        <v>4.18</v>
      </c>
      <c r="AD17" s="127">
        <v>3.3599999999999994</v>
      </c>
      <c r="AE17" s="127">
        <v>0</v>
      </c>
      <c r="AF17" s="127"/>
      <c r="AG17" s="127"/>
      <c r="AH17" s="127">
        <v>30.89</v>
      </c>
      <c r="AI17" s="127">
        <v>5.46</v>
      </c>
      <c r="AJ17" s="127">
        <v>0</v>
      </c>
      <c r="AK17" s="127">
        <v>2.39</v>
      </c>
      <c r="AL17" s="127">
        <v>1.89</v>
      </c>
      <c r="AM17" s="127">
        <v>0</v>
      </c>
      <c r="AN17" s="127">
        <v>21.25</v>
      </c>
      <c r="AO17" s="127">
        <v>1.79</v>
      </c>
      <c r="AP17" s="127">
        <v>108</v>
      </c>
      <c r="AQ17" s="127">
        <v>11.51</v>
      </c>
      <c r="AR17" s="127">
        <v>0</v>
      </c>
      <c r="AS17" s="127">
        <v>5.63</v>
      </c>
      <c r="AT17" s="127">
        <v>5.25</v>
      </c>
      <c r="AU17" s="127">
        <v>0</v>
      </c>
      <c r="AV17" s="127">
        <v>21.25</v>
      </c>
      <c r="AW17" s="127">
        <v>2.82</v>
      </c>
      <c r="AX17" s="127"/>
      <c r="AY17" s="127"/>
      <c r="AZ17" s="127">
        <f t="shared" si="2"/>
        <v>323.95999999999998</v>
      </c>
      <c r="BA17" s="127">
        <f t="shared" si="3"/>
        <v>25.01</v>
      </c>
      <c r="BB17" s="127">
        <f t="shared" si="4"/>
        <v>0</v>
      </c>
      <c r="BC17" s="127">
        <f t="shared" si="4"/>
        <v>12.2</v>
      </c>
      <c r="BD17" s="127">
        <f t="shared" si="4"/>
        <v>15.75</v>
      </c>
      <c r="BE17" s="127">
        <f t="shared" si="4"/>
        <v>0</v>
      </c>
      <c r="BF17" s="127">
        <f t="shared" si="4"/>
        <v>63.75</v>
      </c>
      <c r="BG17" s="127">
        <f t="shared" si="4"/>
        <v>6.1099999999999994</v>
      </c>
      <c r="BH17" s="2"/>
      <c r="BI17" s="2"/>
      <c r="BJ17" s="2"/>
      <c r="BK17" s="2"/>
    </row>
    <row r="18" spans="1:64" ht="20.100000000000001" customHeight="1" x14ac:dyDescent="0.35">
      <c r="A18" s="15">
        <v>8</v>
      </c>
      <c r="B18" s="16" t="s">
        <v>16</v>
      </c>
      <c r="C18" s="21">
        <v>101.3</v>
      </c>
      <c r="D18" s="26">
        <v>1.7</v>
      </c>
      <c r="E18" s="19" t="e">
        <f>C18+D18+#REF!+#REF!</f>
        <v>#REF!</v>
      </c>
      <c r="F18" s="26">
        <v>0</v>
      </c>
      <c r="G18" s="36">
        <v>0</v>
      </c>
      <c r="H18" s="19"/>
      <c r="I18" s="26">
        <v>0</v>
      </c>
      <c r="J18" s="26">
        <v>0</v>
      </c>
      <c r="K18" s="19"/>
      <c r="L18" s="36">
        <v>0</v>
      </c>
      <c r="M18" s="36">
        <v>0</v>
      </c>
      <c r="N18" s="19">
        <f t="shared" si="5"/>
        <v>0</v>
      </c>
      <c r="O18" s="19">
        <f>C18+F18+I18+L18</f>
        <v>101.3</v>
      </c>
      <c r="P18" s="20">
        <f>D18+G18+J18+M18</f>
        <v>1.7</v>
      </c>
      <c r="Q18" s="19">
        <f t="shared" si="1"/>
        <v>103</v>
      </c>
      <c r="R18" s="17">
        <v>17.5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13">
        <v>0</v>
      </c>
      <c r="Z18" s="127">
        <v>25.9</v>
      </c>
      <c r="AA18" s="127">
        <v>0.33</v>
      </c>
      <c r="AB18" s="127">
        <v>0</v>
      </c>
      <c r="AC18" s="127">
        <v>0</v>
      </c>
      <c r="AD18" s="127">
        <v>0</v>
      </c>
      <c r="AE18" s="127">
        <v>0</v>
      </c>
      <c r="AF18" s="127"/>
      <c r="AG18" s="127"/>
      <c r="AH18" s="127">
        <v>7.24</v>
      </c>
      <c r="AI18" s="127">
        <v>0.23</v>
      </c>
      <c r="AJ18" s="127">
        <v>0</v>
      </c>
      <c r="AK18" s="127">
        <v>0</v>
      </c>
      <c r="AL18" s="127">
        <v>0</v>
      </c>
      <c r="AM18" s="127">
        <v>0</v>
      </c>
      <c r="AN18" s="127">
        <v>0</v>
      </c>
      <c r="AO18" s="127">
        <v>0</v>
      </c>
      <c r="AP18" s="127">
        <v>25.33</v>
      </c>
      <c r="AQ18" s="127">
        <v>0.48</v>
      </c>
      <c r="AR18" s="127">
        <v>0</v>
      </c>
      <c r="AS18" s="127">
        <v>0</v>
      </c>
      <c r="AT18" s="127">
        <v>0</v>
      </c>
      <c r="AU18" s="127">
        <v>0</v>
      </c>
      <c r="AV18" s="127">
        <v>0</v>
      </c>
      <c r="AW18" s="127">
        <v>0</v>
      </c>
      <c r="AX18" s="127"/>
      <c r="AY18" s="127"/>
      <c r="AZ18" s="127">
        <f t="shared" si="2"/>
        <v>75.97</v>
      </c>
      <c r="BA18" s="127">
        <f t="shared" si="3"/>
        <v>1.04</v>
      </c>
      <c r="BB18" s="127">
        <f t="shared" si="4"/>
        <v>0</v>
      </c>
      <c r="BC18" s="127">
        <f t="shared" si="4"/>
        <v>0</v>
      </c>
      <c r="BD18" s="127">
        <f t="shared" si="4"/>
        <v>0</v>
      </c>
      <c r="BE18" s="127">
        <f t="shared" si="4"/>
        <v>0</v>
      </c>
      <c r="BF18" s="127">
        <f t="shared" si="4"/>
        <v>0</v>
      </c>
      <c r="BG18" s="127">
        <f t="shared" si="4"/>
        <v>0</v>
      </c>
      <c r="BH18" s="2"/>
      <c r="BI18" s="2"/>
      <c r="BJ18" s="2"/>
      <c r="BK18" s="2"/>
    </row>
    <row r="19" spans="1:64" s="6" customFormat="1" ht="20.100000000000001" customHeight="1" x14ac:dyDescent="0.3">
      <c r="A19" s="76"/>
      <c r="B19" s="77" t="s">
        <v>15</v>
      </c>
      <c r="C19" s="80">
        <f>+C17+C18</f>
        <v>533.29999999999995</v>
      </c>
      <c r="D19" s="80">
        <f t="shared" ref="D19:Y19" si="55">+D17+D18</f>
        <v>42.7</v>
      </c>
      <c r="E19" s="80" t="e">
        <f t="shared" si="55"/>
        <v>#REF!</v>
      </c>
      <c r="F19" s="80">
        <f t="shared" si="55"/>
        <v>0</v>
      </c>
      <c r="G19" s="80">
        <f t="shared" si="55"/>
        <v>20</v>
      </c>
      <c r="H19" s="80">
        <f t="shared" si="55"/>
        <v>0</v>
      </c>
      <c r="I19" s="80">
        <f t="shared" si="55"/>
        <v>21</v>
      </c>
      <c r="J19" s="80">
        <f t="shared" si="55"/>
        <v>0</v>
      </c>
      <c r="K19" s="80">
        <f t="shared" si="55"/>
        <v>0</v>
      </c>
      <c r="L19" s="80">
        <f t="shared" si="55"/>
        <v>85</v>
      </c>
      <c r="M19" s="80">
        <f t="shared" si="55"/>
        <v>10</v>
      </c>
      <c r="N19" s="80">
        <f t="shared" si="55"/>
        <v>95</v>
      </c>
      <c r="O19" s="80">
        <f t="shared" si="55"/>
        <v>639.29999999999995</v>
      </c>
      <c r="P19" s="80">
        <f t="shared" si="55"/>
        <v>72.7</v>
      </c>
      <c r="Q19" s="80">
        <f t="shared" si="55"/>
        <v>712</v>
      </c>
      <c r="R19" s="80">
        <f t="shared" si="55"/>
        <v>120</v>
      </c>
      <c r="S19" s="80">
        <f t="shared" si="55"/>
        <v>0.94</v>
      </c>
      <c r="T19" s="80">
        <f t="shared" si="55"/>
        <v>0</v>
      </c>
      <c r="U19" s="80">
        <f t="shared" si="55"/>
        <v>0</v>
      </c>
      <c r="V19" s="80">
        <f t="shared" si="55"/>
        <v>5.25</v>
      </c>
      <c r="W19" s="80">
        <f t="shared" si="55"/>
        <v>0</v>
      </c>
      <c r="X19" s="80">
        <f t="shared" si="55"/>
        <v>21.25</v>
      </c>
      <c r="Y19" s="116">
        <f t="shared" si="55"/>
        <v>1.5</v>
      </c>
      <c r="Z19" s="80">
        <f t="shared" ref="Z19" si="56">+Z17+Z18</f>
        <v>108.47</v>
      </c>
      <c r="AA19" s="80">
        <f t="shared" ref="AA19" si="57">+AA17+AA18</f>
        <v>7.43</v>
      </c>
      <c r="AB19" s="80">
        <f t="shared" ref="AB19" si="58">+AB17+AB18</f>
        <v>0</v>
      </c>
      <c r="AC19" s="80">
        <f t="shared" ref="AC19" si="59">+AC17+AC18</f>
        <v>4.18</v>
      </c>
      <c r="AD19" s="80">
        <f t="shared" ref="AD19" si="60">+AD17+AD18</f>
        <v>3.3599999999999994</v>
      </c>
      <c r="AE19" s="80">
        <f t="shared" ref="AE19" si="61">+AE17+AE18</f>
        <v>0</v>
      </c>
      <c r="AF19" s="80">
        <f t="shared" ref="AF19" si="62">+AF17+AF18</f>
        <v>0</v>
      </c>
      <c r="AG19" s="80">
        <f t="shared" ref="AG19" si="63">+AG17+AG18</f>
        <v>0</v>
      </c>
      <c r="AH19" s="80">
        <f t="shared" ref="AH19" si="64">+AH17+AH18</f>
        <v>38.130000000000003</v>
      </c>
      <c r="AI19" s="80">
        <f t="shared" ref="AI19" si="65">+AI17+AI18</f>
        <v>5.69</v>
      </c>
      <c r="AJ19" s="80">
        <f t="shared" ref="AJ19" si="66">+AJ17+AJ18</f>
        <v>0</v>
      </c>
      <c r="AK19" s="80">
        <f t="shared" ref="AK19" si="67">+AK17+AK18</f>
        <v>2.39</v>
      </c>
      <c r="AL19" s="80">
        <f t="shared" ref="AL19" si="68">+AL17+AL18</f>
        <v>1.89</v>
      </c>
      <c r="AM19" s="80">
        <f t="shared" ref="AM19" si="69">+AM17+AM18</f>
        <v>0</v>
      </c>
      <c r="AN19" s="80">
        <f t="shared" ref="AN19" si="70">+AN17+AN18</f>
        <v>21.25</v>
      </c>
      <c r="AO19" s="80">
        <f t="shared" ref="AO19" si="71">+AO17+AO18</f>
        <v>1.79</v>
      </c>
      <c r="AP19" s="80">
        <f t="shared" ref="AP19" si="72">+AP17+AP18</f>
        <v>133.32999999999998</v>
      </c>
      <c r="AQ19" s="80">
        <f t="shared" ref="AQ19" si="73">+AQ17+AQ18</f>
        <v>11.99</v>
      </c>
      <c r="AR19" s="80">
        <f t="shared" ref="AR19" si="74">+AR17+AR18</f>
        <v>0</v>
      </c>
      <c r="AS19" s="80">
        <f t="shared" ref="AS19" si="75">+AS17+AS18</f>
        <v>5.63</v>
      </c>
      <c r="AT19" s="80">
        <f t="shared" ref="AT19" si="76">+AT17+AT18</f>
        <v>5.25</v>
      </c>
      <c r="AU19" s="80">
        <f t="shared" ref="AU19" si="77">+AU17+AU18</f>
        <v>0</v>
      </c>
      <c r="AV19" s="80">
        <f t="shared" ref="AV19" si="78">+AV17+AV18</f>
        <v>21.25</v>
      </c>
      <c r="AW19" s="80">
        <f t="shared" ref="AW19:BG19" si="79">+AW17+AW18</f>
        <v>2.82</v>
      </c>
      <c r="AX19" s="80">
        <f t="shared" si="79"/>
        <v>0</v>
      </c>
      <c r="AY19" s="80">
        <f t="shared" si="79"/>
        <v>0</v>
      </c>
      <c r="AZ19" s="80">
        <f t="shared" si="79"/>
        <v>399.92999999999995</v>
      </c>
      <c r="BA19" s="80">
        <f t="shared" si="79"/>
        <v>26.05</v>
      </c>
      <c r="BB19" s="80">
        <f t="shared" si="79"/>
        <v>0</v>
      </c>
      <c r="BC19" s="80">
        <f t="shared" si="79"/>
        <v>12.2</v>
      </c>
      <c r="BD19" s="80">
        <f t="shared" si="79"/>
        <v>15.75</v>
      </c>
      <c r="BE19" s="80">
        <f t="shared" si="79"/>
        <v>0</v>
      </c>
      <c r="BF19" s="80">
        <f t="shared" si="79"/>
        <v>63.75</v>
      </c>
      <c r="BG19" s="80">
        <f t="shared" si="79"/>
        <v>6.1099999999999994</v>
      </c>
      <c r="BH19" s="80"/>
      <c r="BI19" s="80"/>
      <c r="BJ19" s="80"/>
      <c r="BK19" s="80"/>
      <c r="BL19" s="80">
        <f t="shared" ref="BL19" si="80">+BL17+BL18</f>
        <v>0</v>
      </c>
    </row>
    <row r="20" spans="1:64" ht="20.100000000000001" customHeight="1" x14ac:dyDescent="0.35">
      <c r="A20" s="15">
        <v>9</v>
      </c>
      <c r="B20" s="16" t="s">
        <v>17</v>
      </c>
      <c r="C20" s="21">
        <v>9495.42</v>
      </c>
      <c r="D20" s="26">
        <v>5451.65</v>
      </c>
      <c r="E20" s="19" t="e">
        <f>C20+D20+#REF!+#REF!</f>
        <v>#REF!</v>
      </c>
      <c r="F20" s="26">
        <v>306</v>
      </c>
      <c r="G20" s="36">
        <v>100</v>
      </c>
      <c r="H20" s="19"/>
      <c r="I20" s="26">
        <v>200</v>
      </c>
      <c r="J20" s="26">
        <v>30</v>
      </c>
      <c r="K20" s="19"/>
      <c r="L20" s="36">
        <v>1858.9299999999998</v>
      </c>
      <c r="M20" s="36">
        <v>92</v>
      </c>
      <c r="N20" s="19">
        <f t="shared" si="5"/>
        <v>1950.9299999999998</v>
      </c>
      <c r="O20" s="19">
        <f t="shared" ref="O20:P26" si="81">C20+F20+I20+L20</f>
        <v>11860.35</v>
      </c>
      <c r="P20" s="20">
        <f t="shared" si="81"/>
        <v>5673.65</v>
      </c>
      <c r="Q20" s="19">
        <f t="shared" si="1"/>
        <v>17534</v>
      </c>
      <c r="R20" s="17">
        <v>2600</v>
      </c>
      <c r="S20" s="17">
        <v>525</v>
      </c>
      <c r="T20" s="17">
        <v>5</v>
      </c>
      <c r="U20" s="17">
        <v>0</v>
      </c>
      <c r="V20" s="17">
        <v>30.5</v>
      </c>
      <c r="W20" s="17">
        <v>3</v>
      </c>
      <c r="X20" s="17">
        <v>92.49</v>
      </c>
      <c r="Y20" s="113">
        <v>9</v>
      </c>
      <c r="Z20" s="127">
        <v>1384.9800000000002</v>
      </c>
      <c r="AA20" s="127">
        <v>351.45999999999987</v>
      </c>
      <c r="AB20" s="127">
        <v>96.92</v>
      </c>
      <c r="AC20" s="127">
        <v>20.92</v>
      </c>
      <c r="AD20" s="127">
        <v>36.56</v>
      </c>
      <c r="AE20" s="127">
        <v>0.74999999999999978</v>
      </c>
      <c r="AF20" s="127"/>
      <c r="AG20" s="127"/>
      <c r="AH20" s="127">
        <v>679.74</v>
      </c>
      <c r="AI20" s="127">
        <v>724.80000000000007</v>
      </c>
      <c r="AJ20" s="127">
        <v>46.08</v>
      </c>
      <c r="AK20" s="127">
        <v>11.94</v>
      </c>
      <c r="AL20" s="127">
        <v>18</v>
      </c>
      <c r="AM20" s="127">
        <v>4.5599999999999996</v>
      </c>
      <c r="AN20" s="127">
        <v>773.88</v>
      </c>
      <c r="AO20" s="127">
        <v>0</v>
      </c>
      <c r="AP20" s="127">
        <v>2373.86</v>
      </c>
      <c r="AQ20" s="127">
        <v>1530.28</v>
      </c>
      <c r="AR20" s="127">
        <v>76.5</v>
      </c>
      <c r="AS20" s="127">
        <v>28.15</v>
      </c>
      <c r="AT20" s="127">
        <v>50</v>
      </c>
      <c r="AU20" s="127">
        <v>8.4499999999999993</v>
      </c>
      <c r="AV20" s="127">
        <v>464.73</v>
      </c>
      <c r="AW20" s="127">
        <v>25.9</v>
      </c>
      <c r="AX20" s="127"/>
      <c r="AY20" s="127"/>
      <c r="AZ20" s="127">
        <f t="shared" si="2"/>
        <v>7038.5800000000008</v>
      </c>
      <c r="BA20" s="127">
        <f t="shared" si="3"/>
        <v>3131.54</v>
      </c>
      <c r="BB20" s="127">
        <f t="shared" si="4"/>
        <v>224.5</v>
      </c>
      <c r="BC20" s="127">
        <f t="shared" si="4"/>
        <v>61.01</v>
      </c>
      <c r="BD20" s="127">
        <f t="shared" si="4"/>
        <v>135.06</v>
      </c>
      <c r="BE20" s="127">
        <f t="shared" si="4"/>
        <v>16.759999999999998</v>
      </c>
      <c r="BF20" s="127">
        <f t="shared" si="4"/>
        <v>1331.1000000000001</v>
      </c>
      <c r="BG20" s="127">
        <f t="shared" si="4"/>
        <v>34.9</v>
      </c>
      <c r="BH20" s="2"/>
      <c r="BI20" s="2"/>
      <c r="BJ20" s="2"/>
      <c r="BK20" s="2"/>
    </row>
    <row r="21" spans="1:64" ht="20.100000000000001" customHeight="1" x14ac:dyDescent="0.35">
      <c r="A21" s="15">
        <v>10</v>
      </c>
      <c r="B21" s="16" t="s">
        <v>18</v>
      </c>
      <c r="C21" s="21">
        <v>96</v>
      </c>
      <c r="D21" s="26">
        <v>110</v>
      </c>
      <c r="E21" s="19" t="e">
        <f>C21+D21+#REF!+#REF!</f>
        <v>#REF!</v>
      </c>
      <c r="F21" s="26">
        <v>2</v>
      </c>
      <c r="G21" s="36">
        <v>0</v>
      </c>
      <c r="H21" s="19"/>
      <c r="I21" s="26">
        <v>0</v>
      </c>
      <c r="J21" s="26">
        <v>0</v>
      </c>
      <c r="K21" s="19"/>
      <c r="L21" s="36">
        <v>9</v>
      </c>
      <c r="M21" s="36">
        <v>0</v>
      </c>
      <c r="N21" s="19">
        <f t="shared" si="5"/>
        <v>9</v>
      </c>
      <c r="O21" s="19">
        <f t="shared" si="81"/>
        <v>107</v>
      </c>
      <c r="P21" s="20">
        <f t="shared" si="81"/>
        <v>110</v>
      </c>
      <c r="Q21" s="19">
        <f t="shared" si="1"/>
        <v>217</v>
      </c>
      <c r="R21" s="17">
        <v>38.75</v>
      </c>
      <c r="S21" s="17">
        <v>16.5</v>
      </c>
      <c r="T21" s="17">
        <v>0</v>
      </c>
      <c r="U21" s="17">
        <v>0</v>
      </c>
      <c r="V21" s="17">
        <v>0</v>
      </c>
      <c r="W21" s="17">
        <v>0</v>
      </c>
      <c r="X21" s="17">
        <v>5.5</v>
      </c>
      <c r="Y21" s="113">
        <v>0</v>
      </c>
      <c r="Z21" s="127">
        <v>2.3800000000000026</v>
      </c>
      <c r="AA21" s="127">
        <v>5.0799999999999983</v>
      </c>
      <c r="AB21" s="127">
        <v>0.7</v>
      </c>
      <c r="AC21" s="127">
        <v>0</v>
      </c>
      <c r="AD21" s="127">
        <v>0</v>
      </c>
      <c r="AE21" s="127">
        <v>0</v>
      </c>
      <c r="AF21" s="127"/>
      <c r="AG21" s="127"/>
      <c r="AH21" s="127">
        <v>6.86</v>
      </c>
      <c r="AI21" s="127">
        <v>14.64</v>
      </c>
      <c r="AJ21" s="127">
        <v>0.3</v>
      </c>
      <c r="AK21" s="127">
        <v>0</v>
      </c>
      <c r="AL21" s="127">
        <v>0</v>
      </c>
      <c r="AM21" s="127">
        <v>0</v>
      </c>
      <c r="AN21" s="127">
        <v>-1</v>
      </c>
      <c r="AO21" s="127">
        <v>0</v>
      </c>
      <c r="AP21" s="127">
        <v>24</v>
      </c>
      <c r="AQ21" s="127">
        <v>30.88</v>
      </c>
      <c r="AR21" s="127">
        <v>0.5</v>
      </c>
      <c r="AS21" s="127">
        <v>0</v>
      </c>
      <c r="AT21" s="127">
        <v>0</v>
      </c>
      <c r="AU21" s="127">
        <v>0</v>
      </c>
      <c r="AV21" s="127">
        <v>2.25</v>
      </c>
      <c r="AW21" s="127">
        <v>0</v>
      </c>
      <c r="AX21" s="127"/>
      <c r="AY21" s="127"/>
      <c r="AZ21" s="127">
        <f t="shared" si="2"/>
        <v>71.990000000000009</v>
      </c>
      <c r="BA21" s="127">
        <f t="shared" si="3"/>
        <v>67.099999999999994</v>
      </c>
      <c r="BB21" s="127">
        <f t="shared" si="4"/>
        <v>1.5</v>
      </c>
      <c r="BC21" s="127">
        <f t="shared" si="4"/>
        <v>0</v>
      </c>
      <c r="BD21" s="127">
        <f t="shared" si="4"/>
        <v>0</v>
      </c>
      <c r="BE21" s="127">
        <f t="shared" si="4"/>
        <v>0</v>
      </c>
      <c r="BF21" s="127">
        <f t="shared" si="4"/>
        <v>6.75</v>
      </c>
      <c r="BG21" s="127">
        <f t="shared" si="4"/>
        <v>0</v>
      </c>
      <c r="BH21" s="2"/>
      <c r="BI21" s="2"/>
      <c r="BJ21" s="2"/>
      <c r="BK21" s="2"/>
    </row>
    <row r="22" spans="1:64" ht="20.100000000000001" customHeight="1" x14ac:dyDescent="0.35">
      <c r="A22" s="15">
        <v>11</v>
      </c>
      <c r="B22" s="22" t="s">
        <v>19</v>
      </c>
      <c r="C22" s="21">
        <v>154.05000000000001</v>
      </c>
      <c r="D22" s="26">
        <v>0</v>
      </c>
      <c r="E22" s="19" t="e">
        <f>C22+D22+#REF!+#REF!</f>
        <v>#REF!</v>
      </c>
      <c r="F22" s="26">
        <v>20.6</v>
      </c>
      <c r="G22" s="36">
        <v>12.5</v>
      </c>
      <c r="H22" s="19"/>
      <c r="I22" s="26">
        <v>18.850000000000001</v>
      </c>
      <c r="J22" s="26">
        <v>0</v>
      </c>
      <c r="K22" s="19"/>
      <c r="L22" s="36">
        <v>0</v>
      </c>
      <c r="M22" s="36">
        <v>0</v>
      </c>
      <c r="N22" s="19">
        <f t="shared" si="5"/>
        <v>0</v>
      </c>
      <c r="O22" s="19">
        <f t="shared" si="81"/>
        <v>193.5</v>
      </c>
      <c r="P22" s="20">
        <f t="shared" si="81"/>
        <v>12.5</v>
      </c>
      <c r="Q22" s="19">
        <f t="shared" si="1"/>
        <v>206</v>
      </c>
      <c r="R22" s="17">
        <v>32.5</v>
      </c>
      <c r="S22" s="17">
        <v>0</v>
      </c>
      <c r="T22" s="17">
        <v>0</v>
      </c>
      <c r="U22" s="17">
        <v>0</v>
      </c>
      <c r="V22" s="17">
        <v>7.5</v>
      </c>
      <c r="W22" s="17">
        <v>0</v>
      </c>
      <c r="X22" s="17">
        <v>0</v>
      </c>
      <c r="Y22" s="113">
        <v>0</v>
      </c>
      <c r="Z22" s="127">
        <v>33.5</v>
      </c>
      <c r="AA22" s="127">
        <v>0</v>
      </c>
      <c r="AB22" s="127">
        <v>7.2</v>
      </c>
      <c r="AC22" s="127">
        <v>2.62</v>
      </c>
      <c r="AD22" s="127">
        <v>0.23000000000000043</v>
      </c>
      <c r="AE22" s="127">
        <v>0</v>
      </c>
      <c r="AF22" s="127"/>
      <c r="AG22" s="127"/>
      <c r="AH22" s="127">
        <v>11.01</v>
      </c>
      <c r="AI22" s="127">
        <v>0</v>
      </c>
      <c r="AJ22" s="127">
        <v>3.1</v>
      </c>
      <c r="AK22" s="127">
        <v>1.49</v>
      </c>
      <c r="AL22" s="127">
        <v>1.7</v>
      </c>
      <c r="AM22" s="127">
        <v>0</v>
      </c>
      <c r="AN22" s="127">
        <v>0</v>
      </c>
      <c r="AO22" s="127">
        <v>0</v>
      </c>
      <c r="AP22" s="127">
        <v>38.51</v>
      </c>
      <c r="AQ22" s="127">
        <v>0</v>
      </c>
      <c r="AR22" s="127">
        <v>5.15</v>
      </c>
      <c r="AS22" s="127">
        <v>3.52</v>
      </c>
      <c r="AT22" s="127">
        <v>4.71</v>
      </c>
      <c r="AU22" s="127">
        <v>0</v>
      </c>
      <c r="AV22" s="127">
        <v>0</v>
      </c>
      <c r="AW22" s="127">
        <v>0</v>
      </c>
      <c r="AX22" s="127"/>
      <c r="AY22" s="127"/>
      <c r="AZ22" s="127">
        <f t="shared" si="2"/>
        <v>115.52</v>
      </c>
      <c r="BA22" s="127">
        <f t="shared" si="3"/>
        <v>0</v>
      </c>
      <c r="BB22" s="127">
        <f t="shared" si="4"/>
        <v>15.45</v>
      </c>
      <c r="BC22" s="127">
        <f t="shared" si="4"/>
        <v>7.63</v>
      </c>
      <c r="BD22" s="127">
        <f t="shared" si="4"/>
        <v>14.14</v>
      </c>
      <c r="BE22" s="127">
        <f t="shared" si="4"/>
        <v>0</v>
      </c>
      <c r="BF22" s="127">
        <f t="shared" si="4"/>
        <v>0</v>
      </c>
      <c r="BG22" s="127">
        <f t="shared" si="4"/>
        <v>0</v>
      </c>
      <c r="BH22" s="2"/>
      <c r="BI22" s="2"/>
      <c r="BJ22" s="2"/>
      <c r="BK22" s="2"/>
    </row>
    <row r="23" spans="1:64" ht="20.100000000000001" customHeight="1" x14ac:dyDescent="0.35">
      <c r="A23" s="15">
        <v>12</v>
      </c>
      <c r="B23" s="16" t="s">
        <v>20</v>
      </c>
      <c r="C23" s="21">
        <v>500</v>
      </c>
      <c r="D23" s="26">
        <v>110</v>
      </c>
      <c r="E23" s="19" t="e">
        <f>C23+D23+#REF!+#REF!</f>
        <v>#REF!</v>
      </c>
      <c r="F23" s="26">
        <v>0</v>
      </c>
      <c r="G23" s="36">
        <v>0</v>
      </c>
      <c r="H23" s="19"/>
      <c r="I23" s="26">
        <v>0</v>
      </c>
      <c r="J23" s="26">
        <v>0</v>
      </c>
      <c r="K23" s="19"/>
      <c r="L23" s="36">
        <v>0</v>
      </c>
      <c r="M23" s="36">
        <v>0</v>
      </c>
      <c r="N23" s="19">
        <f t="shared" si="5"/>
        <v>0</v>
      </c>
      <c r="O23" s="19">
        <f t="shared" si="81"/>
        <v>500</v>
      </c>
      <c r="P23" s="20">
        <f t="shared" si="81"/>
        <v>110</v>
      </c>
      <c r="Q23" s="19">
        <f t="shared" si="1"/>
        <v>610</v>
      </c>
      <c r="R23" s="17">
        <v>135</v>
      </c>
      <c r="S23" s="17">
        <v>2.25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13">
        <v>0</v>
      </c>
      <c r="Z23" s="127">
        <v>79.199999999999989</v>
      </c>
      <c r="AA23" s="127">
        <v>14.329999999999998</v>
      </c>
      <c r="AB23" s="127">
        <v>0</v>
      </c>
      <c r="AC23" s="127">
        <v>0</v>
      </c>
      <c r="AD23" s="127">
        <v>0</v>
      </c>
      <c r="AE23" s="127">
        <v>0</v>
      </c>
      <c r="AF23" s="127"/>
      <c r="AG23" s="127"/>
      <c r="AH23" s="127">
        <v>35.75</v>
      </c>
      <c r="AI23" s="127">
        <v>14.64</v>
      </c>
      <c r="AJ23" s="127">
        <v>0</v>
      </c>
      <c r="AK23" s="127">
        <v>0</v>
      </c>
      <c r="AL23" s="127">
        <v>0</v>
      </c>
      <c r="AM23" s="127">
        <v>0</v>
      </c>
      <c r="AN23" s="127">
        <v>0</v>
      </c>
      <c r="AO23" s="127">
        <v>0</v>
      </c>
      <c r="AP23" s="127">
        <v>125</v>
      </c>
      <c r="AQ23" s="127">
        <v>30.88</v>
      </c>
      <c r="AR23" s="127">
        <v>0</v>
      </c>
      <c r="AS23" s="127">
        <v>0</v>
      </c>
      <c r="AT23" s="127">
        <v>0</v>
      </c>
      <c r="AU23" s="127">
        <v>0</v>
      </c>
      <c r="AV23" s="127">
        <v>0</v>
      </c>
      <c r="AW23" s="127">
        <v>0</v>
      </c>
      <c r="AX23" s="127"/>
      <c r="AY23" s="127"/>
      <c r="AZ23" s="127">
        <f t="shared" si="2"/>
        <v>374.95</v>
      </c>
      <c r="BA23" s="127">
        <f t="shared" si="3"/>
        <v>62.099999999999994</v>
      </c>
      <c r="BB23" s="127">
        <f t="shared" si="4"/>
        <v>0</v>
      </c>
      <c r="BC23" s="127">
        <f t="shared" si="4"/>
        <v>0</v>
      </c>
      <c r="BD23" s="127">
        <f t="shared" si="4"/>
        <v>0</v>
      </c>
      <c r="BE23" s="127">
        <f t="shared" si="4"/>
        <v>0</v>
      </c>
      <c r="BF23" s="127">
        <f t="shared" si="4"/>
        <v>0</v>
      </c>
      <c r="BG23" s="127">
        <f t="shared" si="4"/>
        <v>0</v>
      </c>
      <c r="BH23" s="2"/>
      <c r="BI23" s="2"/>
      <c r="BJ23" s="2"/>
      <c r="BK23" s="2"/>
    </row>
    <row r="24" spans="1:64" ht="20.100000000000001" customHeight="1" x14ac:dyDescent="0.35">
      <c r="A24" s="15">
        <v>13</v>
      </c>
      <c r="B24" s="16" t="s">
        <v>21</v>
      </c>
      <c r="C24" s="21">
        <v>382</v>
      </c>
      <c r="D24" s="26">
        <v>102</v>
      </c>
      <c r="E24" s="19" t="e">
        <f>C24+D24+#REF!+#REF!</f>
        <v>#REF!</v>
      </c>
      <c r="F24" s="26">
        <v>0</v>
      </c>
      <c r="G24" s="36">
        <v>0</v>
      </c>
      <c r="H24" s="19"/>
      <c r="I24" s="26">
        <v>0</v>
      </c>
      <c r="J24" s="26">
        <v>0</v>
      </c>
      <c r="K24" s="19"/>
      <c r="L24" s="36">
        <v>0</v>
      </c>
      <c r="M24" s="36">
        <v>0</v>
      </c>
      <c r="N24" s="19">
        <f t="shared" si="5"/>
        <v>0</v>
      </c>
      <c r="O24" s="19">
        <f t="shared" si="81"/>
        <v>382</v>
      </c>
      <c r="P24" s="20">
        <f t="shared" si="81"/>
        <v>102</v>
      </c>
      <c r="Q24" s="19">
        <f t="shared" si="1"/>
        <v>484</v>
      </c>
      <c r="R24" s="17">
        <v>100</v>
      </c>
      <c r="S24" s="17">
        <v>3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13">
        <v>0</v>
      </c>
      <c r="Z24" s="127">
        <v>63.650000000000006</v>
      </c>
      <c r="AA24" s="127">
        <v>12.010000000000002</v>
      </c>
      <c r="AB24" s="127">
        <v>0</v>
      </c>
      <c r="AC24" s="127">
        <v>0</v>
      </c>
      <c r="AD24" s="127">
        <v>0</v>
      </c>
      <c r="AE24" s="127">
        <v>0</v>
      </c>
      <c r="AF24" s="127"/>
      <c r="AG24" s="127"/>
      <c r="AH24" s="127">
        <v>27.31</v>
      </c>
      <c r="AI24" s="127">
        <v>13.58</v>
      </c>
      <c r="AJ24" s="127">
        <v>0</v>
      </c>
      <c r="AK24" s="127">
        <v>0</v>
      </c>
      <c r="AL24" s="127">
        <v>0</v>
      </c>
      <c r="AM24" s="127">
        <v>0</v>
      </c>
      <c r="AN24" s="127">
        <v>0</v>
      </c>
      <c r="AO24" s="127">
        <v>0</v>
      </c>
      <c r="AP24" s="127">
        <v>95.5</v>
      </c>
      <c r="AQ24" s="127">
        <v>28.63</v>
      </c>
      <c r="AR24" s="127">
        <v>0</v>
      </c>
      <c r="AS24" s="127">
        <v>0</v>
      </c>
      <c r="AT24" s="127">
        <v>0</v>
      </c>
      <c r="AU24" s="127">
        <v>0</v>
      </c>
      <c r="AV24" s="127">
        <v>0</v>
      </c>
      <c r="AW24" s="127">
        <v>0</v>
      </c>
      <c r="AX24" s="127"/>
      <c r="AY24" s="127"/>
      <c r="AZ24" s="127">
        <f t="shared" si="2"/>
        <v>286.46000000000004</v>
      </c>
      <c r="BA24" s="127">
        <f t="shared" si="3"/>
        <v>57.22</v>
      </c>
      <c r="BB24" s="127">
        <f t="shared" ref="BB24:BE72" si="82">+AR24+AJ24+AB24+T24</f>
        <v>0</v>
      </c>
      <c r="BC24" s="127">
        <f t="shared" si="82"/>
        <v>0</v>
      </c>
      <c r="BD24" s="127">
        <f t="shared" si="82"/>
        <v>0</v>
      </c>
      <c r="BE24" s="127">
        <f t="shared" si="82"/>
        <v>0</v>
      </c>
      <c r="BF24" s="127">
        <f t="shared" ref="BF24:BG86" si="83">+AV24+AN24+AF24+X24</f>
        <v>0</v>
      </c>
      <c r="BG24" s="127">
        <f t="shared" si="83"/>
        <v>0</v>
      </c>
      <c r="BH24" s="2"/>
      <c r="BI24" s="2"/>
      <c r="BJ24" s="2"/>
      <c r="BK24" s="2"/>
    </row>
    <row r="25" spans="1:64" ht="20.100000000000001" customHeight="1" x14ac:dyDescent="0.35">
      <c r="A25" s="15">
        <v>14</v>
      </c>
      <c r="B25" s="16" t="s">
        <v>222</v>
      </c>
      <c r="C25" s="17">
        <v>155.5</v>
      </c>
      <c r="D25" s="26">
        <v>30</v>
      </c>
      <c r="E25" s="19" t="e">
        <f>C25+D25+#REF!+#REF!</f>
        <v>#REF!</v>
      </c>
      <c r="F25" s="26">
        <v>10</v>
      </c>
      <c r="G25" s="36">
        <v>12.5</v>
      </c>
      <c r="H25" s="19"/>
      <c r="I25" s="26">
        <v>40</v>
      </c>
      <c r="J25" s="26">
        <v>0</v>
      </c>
      <c r="K25" s="19"/>
      <c r="L25" s="65">
        <v>0</v>
      </c>
      <c r="M25" s="65">
        <v>0</v>
      </c>
      <c r="N25" s="19">
        <f>L25+M25</f>
        <v>0</v>
      </c>
      <c r="O25" s="19">
        <f t="shared" si="81"/>
        <v>205.5</v>
      </c>
      <c r="P25" s="20">
        <f t="shared" si="81"/>
        <v>42.5</v>
      </c>
      <c r="Q25" s="19">
        <f>O25+P25</f>
        <v>248</v>
      </c>
      <c r="R25" s="17">
        <v>32.5</v>
      </c>
      <c r="S25" s="17">
        <v>0</v>
      </c>
      <c r="T25" s="17">
        <v>0</v>
      </c>
      <c r="U25" s="17">
        <v>0</v>
      </c>
      <c r="V25" s="17">
        <v>10</v>
      </c>
      <c r="W25" s="17">
        <v>0</v>
      </c>
      <c r="X25" s="17">
        <v>0</v>
      </c>
      <c r="Y25" s="113">
        <v>0</v>
      </c>
      <c r="Z25" s="127">
        <v>34.120000000000005</v>
      </c>
      <c r="AA25" s="127">
        <v>5.89</v>
      </c>
      <c r="AB25" s="127">
        <v>3.49</v>
      </c>
      <c r="AC25" s="127">
        <v>2.62</v>
      </c>
      <c r="AD25" s="127">
        <v>6.3999999999999986</v>
      </c>
      <c r="AE25" s="127">
        <v>0</v>
      </c>
      <c r="AF25" s="127"/>
      <c r="AG25" s="127"/>
      <c r="AH25" s="127">
        <v>11.12</v>
      </c>
      <c r="AI25" s="127">
        <v>3.99</v>
      </c>
      <c r="AJ25" s="127">
        <v>1.51</v>
      </c>
      <c r="AK25" s="127">
        <v>1.49</v>
      </c>
      <c r="AL25" s="127">
        <v>3.6</v>
      </c>
      <c r="AM25" s="127">
        <v>0</v>
      </c>
      <c r="AN25" s="127">
        <v>0</v>
      </c>
      <c r="AO25" s="127">
        <v>0</v>
      </c>
      <c r="AP25" s="127">
        <v>38.880000000000003</v>
      </c>
      <c r="AQ25" s="127">
        <v>8.42</v>
      </c>
      <c r="AR25" s="127">
        <v>2.5</v>
      </c>
      <c r="AS25" s="127">
        <v>3.52</v>
      </c>
      <c r="AT25" s="127">
        <v>10</v>
      </c>
      <c r="AU25" s="127">
        <v>0</v>
      </c>
      <c r="AV25" s="127">
        <v>0</v>
      </c>
      <c r="AW25" s="127">
        <v>0</v>
      </c>
      <c r="AX25" s="127"/>
      <c r="AY25" s="127"/>
      <c r="AZ25" s="127">
        <f t="shared" si="2"/>
        <v>116.62</v>
      </c>
      <c r="BA25" s="127">
        <f t="shared" si="3"/>
        <v>18.3</v>
      </c>
      <c r="BB25" s="127">
        <f t="shared" si="82"/>
        <v>7.5</v>
      </c>
      <c r="BC25" s="127">
        <f t="shared" si="82"/>
        <v>7.63</v>
      </c>
      <c r="BD25" s="127">
        <f t="shared" si="82"/>
        <v>30</v>
      </c>
      <c r="BE25" s="127">
        <f t="shared" si="82"/>
        <v>0</v>
      </c>
      <c r="BF25" s="127">
        <f t="shared" si="83"/>
        <v>0</v>
      </c>
      <c r="BG25" s="127">
        <f t="shared" si="83"/>
        <v>0</v>
      </c>
      <c r="BH25" s="2"/>
      <c r="BI25" s="2"/>
      <c r="BJ25" s="2"/>
      <c r="BK25" s="2"/>
    </row>
    <row r="26" spans="1:64" ht="20.100000000000001" customHeight="1" x14ac:dyDescent="0.35">
      <c r="A26" s="15">
        <v>15</v>
      </c>
      <c r="B26" s="24" t="s">
        <v>22</v>
      </c>
      <c r="C26" s="21">
        <v>0</v>
      </c>
      <c r="D26" s="26">
        <v>0</v>
      </c>
      <c r="E26" s="19" t="e">
        <f>C26+D26+#REF!+#REF!</f>
        <v>#REF!</v>
      </c>
      <c r="F26" s="64">
        <v>75</v>
      </c>
      <c r="G26" s="64">
        <v>4163</v>
      </c>
      <c r="H26" s="19"/>
      <c r="I26" s="26">
        <v>0</v>
      </c>
      <c r="J26" s="26">
        <v>0</v>
      </c>
      <c r="K26" s="19"/>
      <c r="L26" s="65">
        <v>0</v>
      </c>
      <c r="M26" s="65">
        <v>0</v>
      </c>
      <c r="N26" s="19">
        <f t="shared" si="5"/>
        <v>0</v>
      </c>
      <c r="O26" s="19">
        <f t="shared" si="81"/>
        <v>75</v>
      </c>
      <c r="P26" s="20">
        <f t="shared" si="81"/>
        <v>4163</v>
      </c>
      <c r="Q26" s="19">
        <f t="shared" si="1"/>
        <v>4238</v>
      </c>
      <c r="R26" s="17">
        <v>0</v>
      </c>
      <c r="S26" s="17">
        <v>120</v>
      </c>
      <c r="T26" s="17">
        <v>100</v>
      </c>
      <c r="U26" s="17">
        <v>760.5</v>
      </c>
      <c r="V26" s="17">
        <v>0</v>
      </c>
      <c r="W26" s="17">
        <v>0</v>
      </c>
      <c r="X26" s="17">
        <v>5</v>
      </c>
      <c r="Y26" s="113">
        <v>37.5</v>
      </c>
      <c r="Z26" s="127">
        <v>0</v>
      </c>
      <c r="AA26" s="127">
        <v>-120</v>
      </c>
      <c r="AB26" s="127">
        <v>-73.789999999999992</v>
      </c>
      <c r="AC26" s="127">
        <v>110.39999999999998</v>
      </c>
      <c r="AD26" s="127">
        <v>0</v>
      </c>
      <c r="AE26" s="127">
        <v>0</v>
      </c>
      <c r="AF26" s="127"/>
      <c r="AG26" s="127"/>
      <c r="AH26" s="127">
        <v>0</v>
      </c>
      <c r="AI26" s="127">
        <v>0</v>
      </c>
      <c r="AJ26" s="127">
        <v>11.3</v>
      </c>
      <c r="AK26" s="127">
        <v>496.65</v>
      </c>
      <c r="AL26" s="127">
        <v>0</v>
      </c>
      <c r="AM26" s="127">
        <v>0</v>
      </c>
      <c r="AN26" s="127">
        <v>-5</v>
      </c>
      <c r="AO26" s="127">
        <v>0</v>
      </c>
      <c r="AP26" s="127">
        <v>0</v>
      </c>
      <c r="AQ26" s="127">
        <v>0</v>
      </c>
      <c r="AR26" s="127">
        <v>18.75</v>
      </c>
      <c r="AS26" s="127">
        <v>1171.8800000000001</v>
      </c>
      <c r="AT26" s="127">
        <v>0</v>
      </c>
      <c r="AU26" s="127">
        <v>0</v>
      </c>
      <c r="AV26" s="127">
        <v>0</v>
      </c>
      <c r="AW26" s="127">
        <v>0</v>
      </c>
      <c r="AX26" s="127"/>
      <c r="AY26" s="127"/>
      <c r="AZ26" s="127">
        <f t="shared" si="2"/>
        <v>0</v>
      </c>
      <c r="BA26" s="127">
        <f t="shared" si="3"/>
        <v>0</v>
      </c>
      <c r="BB26" s="127">
        <f t="shared" si="82"/>
        <v>56.260000000000005</v>
      </c>
      <c r="BC26" s="127">
        <f t="shared" si="82"/>
        <v>2539.4300000000003</v>
      </c>
      <c r="BD26" s="127">
        <f t="shared" si="82"/>
        <v>0</v>
      </c>
      <c r="BE26" s="127">
        <f t="shared" si="82"/>
        <v>0</v>
      </c>
      <c r="BF26" s="127">
        <f t="shared" si="83"/>
        <v>0</v>
      </c>
      <c r="BG26" s="127">
        <f t="shared" si="83"/>
        <v>37.5</v>
      </c>
      <c r="BH26" s="2"/>
      <c r="BI26" s="2"/>
      <c r="BJ26" s="2"/>
      <c r="BK26" s="2"/>
    </row>
    <row r="27" spans="1:64" s="6" customFormat="1" ht="20.100000000000001" customHeight="1" x14ac:dyDescent="0.3">
      <c r="A27" s="76"/>
      <c r="B27" s="77" t="s">
        <v>17</v>
      </c>
      <c r="C27" s="80">
        <f>SUM(C20:C26)</f>
        <v>10782.97</v>
      </c>
      <c r="D27" s="80">
        <f t="shared" ref="D27:X27" si="84">SUM(D20:D26)</f>
        <v>5803.65</v>
      </c>
      <c r="E27" s="80" t="e">
        <f t="shared" si="84"/>
        <v>#REF!</v>
      </c>
      <c r="F27" s="80">
        <f t="shared" si="84"/>
        <v>413.6</v>
      </c>
      <c r="G27" s="80">
        <f t="shared" si="84"/>
        <v>4288</v>
      </c>
      <c r="H27" s="80">
        <f t="shared" si="84"/>
        <v>0</v>
      </c>
      <c r="I27" s="80">
        <f t="shared" si="84"/>
        <v>258.85000000000002</v>
      </c>
      <c r="J27" s="80">
        <f t="shared" si="84"/>
        <v>30</v>
      </c>
      <c r="K27" s="80">
        <f t="shared" si="84"/>
        <v>0</v>
      </c>
      <c r="L27" s="80">
        <f t="shared" si="84"/>
        <v>1867.9299999999998</v>
      </c>
      <c r="M27" s="80">
        <f t="shared" si="84"/>
        <v>92</v>
      </c>
      <c r="N27" s="80">
        <f t="shared" si="84"/>
        <v>1959.9299999999998</v>
      </c>
      <c r="O27" s="80">
        <f t="shared" si="84"/>
        <v>13323.35</v>
      </c>
      <c r="P27" s="80">
        <f t="shared" si="84"/>
        <v>10213.65</v>
      </c>
      <c r="Q27" s="80">
        <f t="shared" si="84"/>
        <v>23537</v>
      </c>
      <c r="R27" s="80">
        <f t="shared" si="84"/>
        <v>2938.75</v>
      </c>
      <c r="S27" s="80">
        <f t="shared" si="84"/>
        <v>666.75</v>
      </c>
      <c r="T27" s="80">
        <f t="shared" si="84"/>
        <v>105</v>
      </c>
      <c r="U27" s="80">
        <f t="shared" si="84"/>
        <v>760.5</v>
      </c>
      <c r="V27" s="80">
        <f t="shared" si="84"/>
        <v>48</v>
      </c>
      <c r="W27" s="80">
        <f t="shared" si="84"/>
        <v>3</v>
      </c>
      <c r="X27" s="80">
        <f t="shared" si="84"/>
        <v>102.99</v>
      </c>
      <c r="Y27" s="116">
        <f t="shared" ref="Y27" si="85">SUM(Y20:Y26)</f>
        <v>46.5</v>
      </c>
      <c r="Z27" s="80">
        <f t="shared" ref="Z27" si="86">SUM(Z20:Z26)</f>
        <v>1597.8300000000004</v>
      </c>
      <c r="AA27" s="80">
        <f t="shared" ref="AA27" si="87">SUM(AA20:AA26)</f>
        <v>268.76999999999981</v>
      </c>
      <c r="AB27" s="80">
        <f t="shared" ref="AB27" si="88">SUM(AB20:AB26)</f>
        <v>34.52000000000001</v>
      </c>
      <c r="AC27" s="80">
        <f t="shared" ref="AC27" si="89">SUM(AC20:AC26)</f>
        <v>136.55999999999997</v>
      </c>
      <c r="AD27" s="80">
        <f t="shared" ref="AD27" si="90">SUM(AD20:AD26)</f>
        <v>43.190000000000005</v>
      </c>
      <c r="AE27" s="80">
        <f t="shared" ref="AE27" si="91">SUM(AE20:AE26)</f>
        <v>0.74999999999999978</v>
      </c>
      <c r="AF27" s="80">
        <f t="shared" ref="AF27" si="92">SUM(AF20:AF26)</f>
        <v>0</v>
      </c>
      <c r="AG27" s="80">
        <f t="shared" ref="AG27" si="93">SUM(AG20:AG26)</f>
        <v>0</v>
      </c>
      <c r="AH27" s="80">
        <f t="shared" ref="AH27" si="94">SUM(AH20:AH26)</f>
        <v>771.79</v>
      </c>
      <c r="AI27" s="80">
        <f t="shared" ref="AI27" si="95">SUM(AI20:AI26)</f>
        <v>771.65000000000009</v>
      </c>
      <c r="AJ27" s="80">
        <f t="shared" ref="AJ27" si="96">SUM(AJ20:AJ26)</f>
        <v>62.289999999999992</v>
      </c>
      <c r="AK27" s="80">
        <f t="shared" ref="AK27" si="97">SUM(AK20:AK26)</f>
        <v>511.57</v>
      </c>
      <c r="AL27" s="80">
        <f t="shared" ref="AL27" si="98">SUM(AL20:AL26)</f>
        <v>23.3</v>
      </c>
      <c r="AM27" s="80">
        <f t="shared" ref="AM27" si="99">SUM(AM20:AM26)</f>
        <v>4.5599999999999996</v>
      </c>
      <c r="AN27" s="80">
        <f t="shared" ref="AN27" si="100">SUM(AN20:AN26)</f>
        <v>767.88</v>
      </c>
      <c r="AO27" s="80">
        <f t="shared" ref="AO27" si="101">SUM(AO20:AO26)</f>
        <v>0</v>
      </c>
      <c r="AP27" s="80">
        <f t="shared" ref="AP27" si="102">SUM(AP20:AP26)</f>
        <v>2695.7500000000005</v>
      </c>
      <c r="AQ27" s="80">
        <f t="shared" ref="AQ27" si="103">SUM(AQ20:AQ26)</f>
        <v>1629.0900000000004</v>
      </c>
      <c r="AR27" s="80">
        <f t="shared" ref="AR27" si="104">SUM(AR20:AR26)</f>
        <v>103.4</v>
      </c>
      <c r="AS27" s="80">
        <f t="shared" ref="AS27" si="105">SUM(AS20:AS26)</f>
        <v>1207.0700000000002</v>
      </c>
      <c r="AT27" s="80">
        <f t="shared" ref="AT27" si="106">SUM(AT20:AT26)</f>
        <v>64.710000000000008</v>
      </c>
      <c r="AU27" s="80">
        <f t="shared" ref="AU27" si="107">SUM(AU20:AU26)</f>
        <v>8.4499999999999993</v>
      </c>
      <c r="AV27" s="80">
        <f t="shared" ref="AV27:BG27" si="108">SUM(AV20:AV26)</f>
        <v>466.98</v>
      </c>
      <c r="AW27" s="80">
        <f t="shared" si="108"/>
        <v>25.9</v>
      </c>
      <c r="AX27" s="80">
        <f t="shared" si="108"/>
        <v>0</v>
      </c>
      <c r="AY27" s="80">
        <f t="shared" si="108"/>
        <v>0</v>
      </c>
      <c r="AZ27" s="80">
        <f t="shared" si="108"/>
        <v>8004.1200000000008</v>
      </c>
      <c r="BA27" s="80">
        <f t="shared" si="108"/>
        <v>3336.2599999999998</v>
      </c>
      <c r="BB27" s="80">
        <f t="shared" si="108"/>
        <v>305.20999999999998</v>
      </c>
      <c r="BC27" s="80">
        <f t="shared" si="108"/>
        <v>2615.7000000000003</v>
      </c>
      <c r="BD27" s="80">
        <f t="shared" si="108"/>
        <v>179.2</v>
      </c>
      <c r="BE27" s="80">
        <f t="shared" si="108"/>
        <v>16.759999999999998</v>
      </c>
      <c r="BF27" s="80">
        <f t="shared" si="108"/>
        <v>1337.8500000000001</v>
      </c>
      <c r="BG27" s="80">
        <f t="shared" si="108"/>
        <v>72.400000000000006</v>
      </c>
      <c r="BH27" s="80"/>
      <c r="BI27" s="80"/>
      <c r="BJ27" s="80"/>
      <c r="BK27" s="80"/>
    </row>
    <row r="28" spans="1:64" s="6" customFormat="1" ht="20.100000000000001" customHeight="1" x14ac:dyDescent="0.3">
      <c r="A28" s="76">
        <v>16</v>
      </c>
      <c r="B28" s="77" t="s">
        <v>23</v>
      </c>
      <c r="C28" s="80">
        <v>150</v>
      </c>
      <c r="D28" s="81">
        <v>1716.2999999999997</v>
      </c>
      <c r="E28" s="19" t="e">
        <f>C28+D28+#REF!+#REF!</f>
        <v>#REF!</v>
      </c>
      <c r="F28" s="82">
        <v>10</v>
      </c>
      <c r="G28" s="82">
        <v>15</v>
      </c>
      <c r="H28" s="19" t="e">
        <f>F28+G28+#REF!</f>
        <v>#REF!</v>
      </c>
      <c r="I28" s="81">
        <v>50</v>
      </c>
      <c r="J28" s="81">
        <v>0</v>
      </c>
      <c r="K28" s="19">
        <f t="shared" si="0"/>
        <v>50</v>
      </c>
      <c r="L28" s="83">
        <v>99.5</v>
      </c>
      <c r="M28" s="83">
        <v>1053.7</v>
      </c>
      <c r="N28" s="19">
        <f t="shared" si="5"/>
        <v>1153.2</v>
      </c>
      <c r="O28" s="19">
        <f t="shared" ref="O28:P30" si="109">C28+F28+I28+L28</f>
        <v>309.5</v>
      </c>
      <c r="P28" s="20">
        <f t="shared" si="109"/>
        <v>2785</v>
      </c>
      <c r="Q28" s="19">
        <f t="shared" si="1"/>
        <v>3094.5</v>
      </c>
      <c r="R28" s="78">
        <v>150</v>
      </c>
      <c r="S28" s="78">
        <v>352.31</v>
      </c>
      <c r="T28" s="78">
        <v>2.5</v>
      </c>
      <c r="U28" s="78">
        <v>0</v>
      </c>
      <c r="V28" s="78">
        <v>12.5</v>
      </c>
      <c r="W28" s="78">
        <v>0</v>
      </c>
      <c r="X28" s="78">
        <v>50</v>
      </c>
      <c r="Y28" s="114">
        <v>27</v>
      </c>
      <c r="Z28" s="127">
        <v>0</v>
      </c>
      <c r="AA28" s="127">
        <v>0</v>
      </c>
      <c r="AB28" s="127">
        <v>0.99000000000000021</v>
      </c>
      <c r="AC28" s="127">
        <v>3.14</v>
      </c>
      <c r="AD28" s="127">
        <v>8</v>
      </c>
      <c r="AE28" s="127">
        <v>0</v>
      </c>
      <c r="AF28" s="127"/>
      <c r="AG28" s="127"/>
      <c r="AH28" s="127">
        <v>10.73</v>
      </c>
      <c r="AI28" s="127">
        <v>228.44</v>
      </c>
      <c r="AJ28" s="127">
        <v>1.51</v>
      </c>
      <c r="AK28" s="127">
        <v>1.79</v>
      </c>
      <c r="AL28" s="127">
        <v>4.5</v>
      </c>
      <c r="AM28" s="127">
        <v>0</v>
      </c>
      <c r="AN28" s="127">
        <v>0</v>
      </c>
      <c r="AO28" s="127">
        <v>263.64000000000004</v>
      </c>
      <c r="AP28" s="127">
        <v>0</v>
      </c>
      <c r="AQ28" s="127">
        <v>481.77</v>
      </c>
      <c r="AR28" s="127">
        <v>2.5</v>
      </c>
      <c r="AS28" s="127">
        <v>4.22</v>
      </c>
      <c r="AT28" s="127">
        <v>12.5</v>
      </c>
      <c r="AU28" s="127">
        <v>0</v>
      </c>
      <c r="AV28" s="127">
        <v>24.88</v>
      </c>
      <c r="AW28" s="127">
        <v>296.62</v>
      </c>
      <c r="AX28" s="127"/>
      <c r="AY28" s="127"/>
      <c r="AZ28" s="127">
        <f t="shared" si="2"/>
        <v>160.72999999999999</v>
      </c>
      <c r="BA28" s="127">
        <f t="shared" si="3"/>
        <v>1062.52</v>
      </c>
      <c r="BB28" s="127">
        <f t="shared" si="82"/>
        <v>7.5</v>
      </c>
      <c r="BC28" s="127">
        <f t="shared" si="82"/>
        <v>9.15</v>
      </c>
      <c r="BD28" s="127">
        <f t="shared" si="82"/>
        <v>37.5</v>
      </c>
      <c r="BE28" s="127">
        <f t="shared" si="82"/>
        <v>0</v>
      </c>
      <c r="BF28" s="127">
        <f t="shared" si="83"/>
        <v>74.88</v>
      </c>
      <c r="BG28" s="127">
        <f t="shared" si="83"/>
        <v>587.26</v>
      </c>
      <c r="BH28" s="2"/>
      <c r="BI28" s="2"/>
      <c r="BJ28" s="2"/>
      <c r="BK28" s="2"/>
    </row>
    <row r="29" spans="1:64" ht="20.100000000000001" customHeight="1" x14ac:dyDescent="0.35">
      <c r="A29" s="15">
        <v>17</v>
      </c>
      <c r="B29" s="16" t="s">
        <v>24</v>
      </c>
      <c r="C29" s="17">
        <v>655</v>
      </c>
      <c r="D29" s="26">
        <v>170</v>
      </c>
      <c r="E29" s="19"/>
      <c r="F29" s="64">
        <v>10</v>
      </c>
      <c r="G29" s="64">
        <v>20</v>
      </c>
      <c r="H29" s="19"/>
      <c r="I29" s="26">
        <v>40</v>
      </c>
      <c r="J29" s="26">
        <v>0</v>
      </c>
      <c r="K29" s="19"/>
      <c r="L29" s="65">
        <v>50</v>
      </c>
      <c r="M29" s="65">
        <v>5</v>
      </c>
      <c r="N29" s="19">
        <f t="shared" si="5"/>
        <v>55</v>
      </c>
      <c r="O29" s="19">
        <f t="shared" si="109"/>
        <v>755</v>
      </c>
      <c r="P29" s="20">
        <f t="shared" si="109"/>
        <v>195</v>
      </c>
      <c r="Q29" s="19">
        <f t="shared" si="1"/>
        <v>950</v>
      </c>
      <c r="R29" s="17">
        <v>178.75</v>
      </c>
      <c r="S29" s="17">
        <v>7.5</v>
      </c>
      <c r="T29" s="17">
        <v>2.5</v>
      </c>
      <c r="U29" s="17">
        <v>0</v>
      </c>
      <c r="V29" s="17">
        <v>5</v>
      </c>
      <c r="W29" s="17">
        <v>0</v>
      </c>
      <c r="X29" s="17">
        <v>22.5</v>
      </c>
      <c r="Y29" s="113">
        <v>0</v>
      </c>
      <c r="Z29" s="127">
        <v>101.85000000000002</v>
      </c>
      <c r="AA29" s="127">
        <v>10.850000000000001</v>
      </c>
      <c r="AB29" s="127">
        <v>0.99000000000000021</v>
      </c>
      <c r="AC29" s="127">
        <v>4.18</v>
      </c>
      <c r="AD29" s="127">
        <v>11.399999999999999</v>
      </c>
      <c r="AE29" s="127">
        <v>0</v>
      </c>
      <c r="AF29" s="127"/>
      <c r="AG29" s="127"/>
      <c r="AH29" s="127">
        <v>46.83</v>
      </c>
      <c r="AI29" s="127">
        <v>22.63</v>
      </c>
      <c r="AJ29" s="127">
        <v>1.51</v>
      </c>
      <c r="AK29" s="127">
        <v>2.39</v>
      </c>
      <c r="AL29" s="127">
        <v>3.6</v>
      </c>
      <c r="AM29" s="127">
        <v>0</v>
      </c>
      <c r="AN29" s="127">
        <v>2.5</v>
      </c>
      <c r="AO29" s="127">
        <v>1.64</v>
      </c>
      <c r="AP29" s="127">
        <v>163.75</v>
      </c>
      <c r="AQ29" s="127">
        <v>47.72</v>
      </c>
      <c r="AR29" s="127">
        <v>2.5</v>
      </c>
      <c r="AS29" s="127">
        <v>5.63</v>
      </c>
      <c r="AT29" s="127">
        <v>10</v>
      </c>
      <c r="AU29" s="127">
        <v>0</v>
      </c>
      <c r="AV29" s="127">
        <v>12.5</v>
      </c>
      <c r="AW29" s="127">
        <v>1.41</v>
      </c>
      <c r="AX29" s="127"/>
      <c r="AY29" s="127"/>
      <c r="AZ29" s="127">
        <f t="shared" si="2"/>
        <v>491.18</v>
      </c>
      <c r="BA29" s="127">
        <f t="shared" si="3"/>
        <v>88.699999999999989</v>
      </c>
      <c r="BB29" s="127">
        <f t="shared" si="82"/>
        <v>7.5</v>
      </c>
      <c r="BC29" s="127">
        <f t="shared" si="82"/>
        <v>12.2</v>
      </c>
      <c r="BD29" s="127">
        <f t="shared" si="82"/>
        <v>30</v>
      </c>
      <c r="BE29" s="127">
        <f t="shared" si="82"/>
        <v>0</v>
      </c>
      <c r="BF29" s="127">
        <f t="shared" si="83"/>
        <v>37.5</v>
      </c>
      <c r="BG29" s="127">
        <f t="shared" si="83"/>
        <v>3.05</v>
      </c>
      <c r="BH29" s="2"/>
      <c r="BI29" s="2"/>
      <c r="BJ29" s="2"/>
      <c r="BK29" s="2"/>
    </row>
    <row r="30" spans="1:64" ht="20.100000000000001" customHeight="1" x14ac:dyDescent="0.35">
      <c r="A30" s="15">
        <v>18</v>
      </c>
      <c r="B30" s="16" t="s">
        <v>25</v>
      </c>
      <c r="C30" s="17">
        <v>190</v>
      </c>
      <c r="D30" s="26">
        <v>10</v>
      </c>
      <c r="E30" s="19"/>
      <c r="F30" s="64">
        <v>20</v>
      </c>
      <c r="G30" s="64">
        <v>10</v>
      </c>
      <c r="H30" s="19"/>
      <c r="I30" s="26">
        <v>40</v>
      </c>
      <c r="J30" s="26">
        <v>0</v>
      </c>
      <c r="K30" s="19"/>
      <c r="L30" s="65">
        <v>13</v>
      </c>
      <c r="M30" s="65">
        <v>0</v>
      </c>
      <c r="N30" s="19">
        <f t="shared" si="5"/>
        <v>13</v>
      </c>
      <c r="O30" s="19">
        <f t="shared" si="109"/>
        <v>263</v>
      </c>
      <c r="P30" s="20">
        <f t="shared" si="109"/>
        <v>20</v>
      </c>
      <c r="Q30" s="19">
        <f t="shared" si="1"/>
        <v>283</v>
      </c>
      <c r="R30" s="17">
        <v>37.5</v>
      </c>
      <c r="S30" s="17">
        <v>1.5</v>
      </c>
      <c r="T30" s="17">
        <v>0</v>
      </c>
      <c r="U30" s="17">
        <v>0</v>
      </c>
      <c r="V30" s="17">
        <v>10</v>
      </c>
      <c r="W30" s="17">
        <v>0</v>
      </c>
      <c r="X30" s="17">
        <v>0</v>
      </c>
      <c r="Y30" s="113">
        <v>0</v>
      </c>
      <c r="Z30" s="127">
        <v>43.900000000000006</v>
      </c>
      <c r="AA30" s="127">
        <v>0.45999999999999996</v>
      </c>
      <c r="AB30" s="127">
        <v>4.99</v>
      </c>
      <c r="AC30" s="127">
        <v>2.09</v>
      </c>
      <c r="AD30" s="127">
        <v>6.3999999999999986</v>
      </c>
      <c r="AE30" s="127">
        <v>0</v>
      </c>
      <c r="AF30" s="127"/>
      <c r="AG30" s="127"/>
      <c r="AH30" s="127">
        <v>13.59</v>
      </c>
      <c r="AI30" s="127">
        <v>1.33</v>
      </c>
      <c r="AJ30" s="127">
        <v>3.01</v>
      </c>
      <c r="AK30" s="127">
        <v>1.19</v>
      </c>
      <c r="AL30" s="127">
        <v>3.6</v>
      </c>
      <c r="AM30" s="127">
        <v>0</v>
      </c>
      <c r="AN30" s="127">
        <v>6.5</v>
      </c>
      <c r="AO30" s="127">
        <v>0</v>
      </c>
      <c r="AP30" s="127">
        <v>47.5</v>
      </c>
      <c r="AQ30" s="127">
        <v>2.81</v>
      </c>
      <c r="AR30" s="127">
        <v>5</v>
      </c>
      <c r="AS30" s="127">
        <v>2.82</v>
      </c>
      <c r="AT30" s="127">
        <v>10</v>
      </c>
      <c r="AU30" s="127">
        <v>0</v>
      </c>
      <c r="AV30" s="127">
        <v>3.25</v>
      </c>
      <c r="AW30" s="127">
        <v>0</v>
      </c>
      <c r="AX30" s="127"/>
      <c r="AY30" s="127"/>
      <c r="AZ30" s="127">
        <f t="shared" si="2"/>
        <v>142.49</v>
      </c>
      <c r="BA30" s="127">
        <f t="shared" si="3"/>
        <v>6.1000000000000005</v>
      </c>
      <c r="BB30" s="127">
        <f t="shared" si="82"/>
        <v>13</v>
      </c>
      <c r="BC30" s="127">
        <f t="shared" si="82"/>
        <v>6.1</v>
      </c>
      <c r="BD30" s="127">
        <f t="shared" si="82"/>
        <v>30</v>
      </c>
      <c r="BE30" s="127">
        <f t="shared" si="82"/>
        <v>0</v>
      </c>
      <c r="BF30" s="127">
        <f t="shared" si="83"/>
        <v>9.75</v>
      </c>
      <c r="BG30" s="127">
        <f t="shared" si="83"/>
        <v>0</v>
      </c>
      <c r="BH30" s="2"/>
      <c r="BI30" s="2"/>
      <c r="BJ30" s="2"/>
      <c r="BK30" s="2"/>
    </row>
    <row r="31" spans="1:64" s="6" customFormat="1" ht="19.5" customHeight="1" x14ac:dyDescent="0.3">
      <c r="A31" s="76"/>
      <c r="B31" s="77" t="s">
        <v>24</v>
      </c>
      <c r="C31" s="78">
        <f>+C29+C30</f>
        <v>845</v>
      </c>
      <c r="D31" s="78">
        <f t="shared" ref="D31:X31" si="110">+D29+D30</f>
        <v>180</v>
      </c>
      <c r="E31" s="78">
        <f t="shared" si="110"/>
        <v>0</v>
      </c>
      <c r="F31" s="78">
        <f t="shared" si="110"/>
        <v>30</v>
      </c>
      <c r="G31" s="78">
        <f t="shared" si="110"/>
        <v>30</v>
      </c>
      <c r="H31" s="78">
        <f t="shared" si="110"/>
        <v>0</v>
      </c>
      <c r="I31" s="78">
        <f t="shared" si="110"/>
        <v>80</v>
      </c>
      <c r="J31" s="78">
        <f t="shared" si="110"/>
        <v>0</v>
      </c>
      <c r="K31" s="78">
        <f t="shared" si="110"/>
        <v>0</v>
      </c>
      <c r="L31" s="78">
        <f t="shared" si="110"/>
        <v>63</v>
      </c>
      <c r="M31" s="78">
        <f t="shared" si="110"/>
        <v>5</v>
      </c>
      <c r="N31" s="78">
        <f t="shared" si="110"/>
        <v>68</v>
      </c>
      <c r="O31" s="78">
        <f t="shared" si="110"/>
        <v>1018</v>
      </c>
      <c r="P31" s="78">
        <f t="shared" si="110"/>
        <v>215</v>
      </c>
      <c r="Q31" s="78">
        <f t="shared" si="110"/>
        <v>1233</v>
      </c>
      <c r="R31" s="78">
        <f t="shared" si="110"/>
        <v>216.25</v>
      </c>
      <c r="S31" s="78">
        <f t="shared" si="110"/>
        <v>9</v>
      </c>
      <c r="T31" s="78">
        <f t="shared" si="110"/>
        <v>2.5</v>
      </c>
      <c r="U31" s="78">
        <f t="shared" si="110"/>
        <v>0</v>
      </c>
      <c r="V31" s="78">
        <f t="shared" si="110"/>
        <v>15</v>
      </c>
      <c r="W31" s="78">
        <f t="shared" si="110"/>
        <v>0</v>
      </c>
      <c r="X31" s="78">
        <f t="shared" si="110"/>
        <v>22.5</v>
      </c>
      <c r="Y31" s="114">
        <f t="shared" ref="Y31" si="111">+Y29+Y30</f>
        <v>0</v>
      </c>
      <c r="Z31" s="78">
        <f t="shared" ref="Z31" si="112">+Z29+Z30</f>
        <v>145.75000000000003</v>
      </c>
      <c r="AA31" s="78">
        <f t="shared" ref="AA31" si="113">+AA29+AA30</f>
        <v>11.310000000000002</v>
      </c>
      <c r="AB31" s="78">
        <f t="shared" ref="AB31" si="114">+AB29+AB30</f>
        <v>5.98</v>
      </c>
      <c r="AC31" s="78">
        <f t="shared" ref="AC31" si="115">+AC29+AC30</f>
        <v>6.27</v>
      </c>
      <c r="AD31" s="78">
        <f t="shared" ref="AD31" si="116">+AD29+AD30</f>
        <v>17.799999999999997</v>
      </c>
      <c r="AE31" s="78">
        <f t="shared" ref="AE31" si="117">+AE29+AE30</f>
        <v>0</v>
      </c>
      <c r="AF31" s="78">
        <f t="shared" ref="AF31" si="118">+AF29+AF30</f>
        <v>0</v>
      </c>
      <c r="AG31" s="78">
        <f t="shared" ref="AG31" si="119">+AG29+AG30</f>
        <v>0</v>
      </c>
      <c r="AH31" s="78">
        <f t="shared" ref="AH31" si="120">+AH29+AH30</f>
        <v>60.42</v>
      </c>
      <c r="AI31" s="78">
        <f t="shared" ref="AI31" si="121">+AI29+AI30</f>
        <v>23.96</v>
      </c>
      <c r="AJ31" s="78">
        <f t="shared" ref="AJ31" si="122">+AJ29+AJ30</f>
        <v>4.5199999999999996</v>
      </c>
      <c r="AK31" s="78">
        <f t="shared" ref="AK31" si="123">+AK29+AK30</f>
        <v>3.58</v>
      </c>
      <c r="AL31" s="78">
        <f t="shared" ref="AL31" si="124">+AL29+AL30</f>
        <v>7.2</v>
      </c>
      <c r="AM31" s="78">
        <f t="shared" ref="AM31" si="125">+AM29+AM30</f>
        <v>0</v>
      </c>
      <c r="AN31" s="78">
        <f t="shared" ref="AN31" si="126">+AN29+AN30</f>
        <v>9</v>
      </c>
      <c r="AO31" s="78">
        <f t="shared" ref="AO31" si="127">+AO29+AO30</f>
        <v>1.64</v>
      </c>
      <c r="AP31" s="78">
        <f t="shared" ref="AP31" si="128">+AP29+AP30</f>
        <v>211.25</v>
      </c>
      <c r="AQ31" s="78">
        <f t="shared" ref="AQ31" si="129">+AQ29+AQ30</f>
        <v>50.53</v>
      </c>
      <c r="AR31" s="78">
        <f t="shared" ref="AR31" si="130">+AR29+AR30</f>
        <v>7.5</v>
      </c>
      <c r="AS31" s="78">
        <f t="shared" ref="AS31" si="131">+AS29+AS30</f>
        <v>8.4499999999999993</v>
      </c>
      <c r="AT31" s="78">
        <f t="shared" ref="AT31" si="132">+AT29+AT30</f>
        <v>20</v>
      </c>
      <c r="AU31" s="78">
        <f t="shared" ref="AU31" si="133">+AU29+AU30</f>
        <v>0</v>
      </c>
      <c r="AV31" s="78">
        <f t="shared" ref="AV31" si="134">+AV29+AV30</f>
        <v>15.75</v>
      </c>
      <c r="AW31" s="78">
        <f t="shared" ref="AW31:BG31" si="135">+AW29+AW30</f>
        <v>1.41</v>
      </c>
      <c r="AX31" s="78">
        <f t="shared" si="135"/>
        <v>0</v>
      </c>
      <c r="AY31" s="78">
        <f t="shared" si="135"/>
        <v>0</v>
      </c>
      <c r="AZ31" s="78">
        <f t="shared" si="135"/>
        <v>633.67000000000007</v>
      </c>
      <c r="BA31" s="78">
        <f t="shared" si="135"/>
        <v>94.799999999999983</v>
      </c>
      <c r="BB31" s="78">
        <f t="shared" si="135"/>
        <v>20.5</v>
      </c>
      <c r="BC31" s="78">
        <f t="shared" si="135"/>
        <v>18.299999999999997</v>
      </c>
      <c r="BD31" s="78">
        <f t="shared" si="135"/>
        <v>60</v>
      </c>
      <c r="BE31" s="78">
        <f t="shared" si="135"/>
        <v>0</v>
      </c>
      <c r="BF31" s="78">
        <f t="shared" si="135"/>
        <v>47.25</v>
      </c>
      <c r="BG31" s="78">
        <f t="shared" si="135"/>
        <v>3.05</v>
      </c>
      <c r="BH31" s="78"/>
      <c r="BI31" s="78"/>
      <c r="BJ31" s="78"/>
      <c r="BK31" s="78"/>
    </row>
    <row r="32" spans="1:64" ht="20.100000000000001" customHeight="1" x14ac:dyDescent="0.35">
      <c r="A32" s="15">
        <v>19</v>
      </c>
      <c r="B32" s="16" t="s">
        <v>26</v>
      </c>
      <c r="C32" s="17">
        <v>741.9</v>
      </c>
      <c r="D32" s="26">
        <v>800</v>
      </c>
      <c r="E32" s="19"/>
      <c r="F32" s="64">
        <v>138.1</v>
      </c>
      <c r="G32" s="64">
        <v>20</v>
      </c>
      <c r="H32" s="19"/>
      <c r="I32" s="26">
        <v>59.38</v>
      </c>
      <c r="J32" s="26">
        <v>0</v>
      </c>
      <c r="K32" s="19"/>
      <c r="L32" s="65">
        <v>104.62</v>
      </c>
      <c r="M32" s="65">
        <v>10</v>
      </c>
      <c r="N32" s="19">
        <f t="shared" si="5"/>
        <v>114.62</v>
      </c>
      <c r="O32" s="19">
        <f t="shared" ref="O32:P34" si="136">C32+F32+I32+L32</f>
        <v>1044</v>
      </c>
      <c r="P32" s="20">
        <f t="shared" si="136"/>
        <v>830</v>
      </c>
      <c r="Q32" s="19">
        <f t="shared" si="1"/>
        <v>1874</v>
      </c>
      <c r="R32" s="17">
        <v>187.5</v>
      </c>
      <c r="S32" s="17">
        <v>75</v>
      </c>
      <c r="T32" s="17">
        <v>0</v>
      </c>
      <c r="U32" s="17">
        <v>0</v>
      </c>
      <c r="V32" s="17">
        <v>7.75</v>
      </c>
      <c r="W32" s="17">
        <v>0</v>
      </c>
      <c r="X32" s="17">
        <v>22.5</v>
      </c>
      <c r="Y32" s="113">
        <v>1.5</v>
      </c>
      <c r="Z32" s="127">
        <v>130.32999999999998</v>
      </c>
      <c r="AA32" s="127">
        <v>46.960000000000008</v>
      </c>
      <c r="AB32" s="127">
        <v>8.9699999999999989</v>
      </c>
      <c r="AC32" s="127">
        <v>4.18</v>
      </c>
      <c r="AD32" s="127">
        <v>16.600000000000001</v>
      </c>
      <c r="AE32" s="127">
        <v>0</v>
      </c>
      <c r="AF32" s="127"/>
      <c r="AG32" s="127"/>
      <c r="AH32" s="127">
        <v>53.05</v>
      </c>
      <c r="AI32" s="127">
        <v>106.48</v>
      </c>
      <c r="AJ32" s="127">
        <v>20.8</v>
      </c>
      <c r="AK32" s="127">
        <v>2.39</v>
      </c>
      <c r="AL32" s="127">
        <v>7.14</v>
      </c>
      <c r="AM32" s="127">
        <v>0</v>
      </c>
      <c r="AN32" s="127">
        <v>29.81</v>
      </c>
      <c r="AO32" s="127">
        <v>1.79</v>
      </c>
      <c r="AP32" s="127">
        <v>185.48</v>
      </c>
      <c r="AQ32" s="127">
        <v>224.56</v>
      </c>
      <c r="AR32" s="127">
        <v>34.53</v>
      </c>
      <c r="AS32" s="127">
        <v>5.63</v>
      </c>
      <c r="AT32" s="127">
        <v>14.85</v>
      </c>
      <c r="AU32" s="127">
        <v>0</v>
      </c>
      <c r="AV32" s="127">
        <v>26.16</v>
      </c>
      <c r="AW32" s="127">
        <v>2.82</v>
      </c>
      <c r="AX32" s="127"/>
      <c r="AY32" s="127"/>
      <c r="AZ32" s="127">
        <f t="shared" si="2"/>
        <v>556.3599999999999</v>
      </c>
      <c r="BA32" s="127">
        <f t="shared" si="3"/>
        <v>453</v>
      </c>
      <c r="BB32" s="127">
        <f t="shared" si="82"/>
        <v>64.3</v>
      </c>
      <c r="BC32" s="127">
        <f t="shared" si="82"/>
        <v>12.2</v>
      </c>
      <c r="BD32" s="127">
        <f t="shared" si="82"/>
        <v>46.34</v>
      </c>
      <c r="BE32" s="127">
        <f t="shared" si="82"/>
        <v>0</v>
      </c>
      <c r="BF32" s="127">
        <f t="shared" si="83"/>
        <v>78.47</v>
      </c>
      <c r="BG32" s="127">
        <f t="shared" si="83"/>
        <v>6.1099999999999994</v>
      </c>
      <c r="BH32" s="2"/>
      <c r="BI32" s="2"/>
      <c r="BJ32" s="2"/>
      <c r="BK32" s="2"/>
    </row>
    <row r="33" spans="1:63" ht="20.100000000000001" customHeight="1" x14ac:dyDescent="0.35">
      <c r="A33" s="15">
        <v>20</v>
      </c>
      <c r="B33" s="106" t="s">
        <v>259</v>
      </c>
      <c r="C33" s="17">
        <v>331</v>
      </c>
      <c r="D33" s="26">
        <v>0</v>
      </c>
      <c r="E33" s="19"/>
      <c r="F33" s="64">
        <v>0</v>
      </c>
      <c r="G33" s="64">
        <v>10</v>
      </c>
      <c r="H33" s="19"/>
      <c r="I33" s="26">
        <v>20</v>
      </c>
      <c r="J33" s="26">
        <v>0</v>
      </c>
      <c r="K33" s="19"/>
      <c r="L33" s="65">
        <v>0</v>
      </c>
      <c r="M33" s="65">
        <v>0</v>
      </c>
      <c r="N33" s="19">
        <f t="shared" si="5"/>
        <v>0</v>
      </c>
      <c r="O33" s="19">
        <f t="shared" si="136"/>
        <v>351</v>
      </c>
      <c r="P33" s="20">
        <f t="shared" si="136"/>
        <v>10</v>
      </c>
      <c r="Q33" s="19">
        <f t="shared" si="1"/>
        <v>361</v>
      </c>
      <c r="R33" s="94">
        <v>80</v>
      </c>
      <c r="S33" s="17">
        <v>0</v>
      </c>
      <c r="T33" s="17">
        <v>0</v>
      </c>
      <c r="U33" s="17">
        <v>0</v>
      </c>
      <c r="V33" s="17">
        <v>22.5</v>
      </c>
      <c r="W33" s="17">
        <v>0</v>
      </c>
      <c r="X33" s="17">
        <v>0</v>
      </c>
      <c r="Y33" s="113">
        <v>0</v>
      </c>
      <c r="Z33" s="127">
        <v>61.800000000000011</v>
      </c>
      <c r="AA33" s="127">
        <v>0</v>
      </c>
      <c r="AB33" s="127">
        <v>0</v>
      </c>
      <c r="AC33" s="127">
        <v>2.09</v>
      </c>
      <c r="AD33" s="127">
        <v>-14.3</v>
      </c>
      <c r="AE33" s="127">
        <v>0</v>
      </c>
      <c r="AF33" s="127"/>
      <c r="AG33" s="127"/>
      <c r="AH33" s="127">
        <v>23.67</v>
      </c>
      <c r="AI33" s="127">
        <v>0</v>
      </c>
      <c r="AJ33" s="127">
        <v>0</v>
      </c>
      <c r="AK33" s="127">
        <v>1.19</v>
      </c>
      <c r="AL33" s="127">
        <v>0</v>
      </c>
      <c r="AM33" s="127">
        <v>0</v>
      </c>
      <c r="AN33" s="127">
        <v>0</v>
      </c>
      <c r="AO33" s="127">
        <v>0</v>
      </c>
      <c r="AP33" s="127">
        <v>82.75</v>
      </c>
      <c r="AQ33" s="127">
        <v>0</v>
      </c>
      <c r="AR33" s="127">
        <v>0</v>
      </c>
      <c r="AS33" s="127">
        <v>2.82</v>
      </c>
      <c r="AT33" s="127">
        <v>5</v>
      </c>
      <c r="AU33" s="127">
        <v>0</v>
      </c>
      <c r="AV33" s="127">
        <v>0</v>
      </c>
      <c r="AW33" s="127">
        <v>0</v>
      </c>
      <c r="AX33" s="127"/>
      <c r="AY33" s="127"/>
      <c r="AZ33" s="127">
        <f t="shared" si="2"/>
        <v>248.22000000000003</v>
      </c>
      <c r="BA33" s="127">
        <f t="shared" si="3"/>
        <v>0</v>
      </c>
      <c r="BB33" s="127">
        <f t="shared" si="82"/>
        <v>0</v>
      </c>
      <c r="BC33" s="127">
        <f t="shared" si="82"/>
        <v>6.1</v>
      </c>
      <c r="BD33" s="127">
        <f t="shared" si="82"/>
        <v>13.2</v>
      </c>
      <c r="BE33" s="127">
        <f t="shared" si="82"/>
        <v>0</v>
      </c>
      <c r="BF33" s="127">
        <f t="shared" si="83"/>
        <v>0</v>
      </c>
      <c r="BG33" s="127">
        <f t="shared" si="83"/>
        <v>0</v>
      </c>
      <c r="BH33" s="2"/>
      <c r="BI33" s="2"/>
      <c r="BJ33" s="2"/>
      <c r="BK33" s="2"/>
    </row>
    <row r="34" spans="1:63" ht="20.100000000000001" customHeight="1" x14ac:dyDescent="0.35">
      <c r="A34" s="15">
        <v>21</v>
      </c>
      <c r="B34" s="106" t="s">
        <v>260</v>
      </c>
      <c r="C34" s="17">
        <v>401</v>
      </c>
      <c r="D34" s="26">
        <v>33</v>
      </c>
      <c r="E34" s="19"/>
      <c r="F34" s="64">
        <v>0</v>
      </c>
      <c r="G34" s="64">
        <v>10</v>
      </c>
      <c r="H34" s="19"/>
      <c r="I34" s="26">
        <v>20</v>
      </c>
      <c r="J34" s="26">
        <v>0</v>
      </c>
      <c r="K34" s="19"/>
      <c r="L34" s="65">
        <v>0</v>
      </c>
      <c r="M34" s="65">
        <v>0</v>
      </c>
      <c r="N34" s="19">
        <f t="shared" si="5"/>
        <v>0</v>
      </c>
      <c r="O34" s="19">
        <f t="shared" si="136"/>
        <v>421</v>
      </c>
      <c r="P34" s="20">
        <f t="shared" si="136"/>
        <v>43</v>
      </c>
      <c r="Q34" s="19">
        <f t="shared" si="1"/>
        <v>464</v>
      </c>
      <c r="R34" s="94">
        <v>45</v>
      </c>
      <c r="S34" s="17">
        <v>0</v>
      </c>
      <c r="T34" s="17">
        <v>0</v>
      </c>
      <c r="U34" s="17">
        <v>0</v>
      </c>
      <c r="V34" s="17">
        <v>5</v>
      </c>
      <c r="W34" s="17">
        <v>0</v>
      </c>
      <c r="X34" s="17">
        <v>0</v>
      </c>
      <c r="Y34" s="113">
        <v>0</v>
      </c>
      <c r="Z34" s="127">
        <v>126.78999999999999</v>
      </c>
      <c r="AA34" s="127">
        <v>4.47</v>
      </c>
      <c r="AB34" s="127">
        <v>0</v>
      </c>
      <c r="AC34" s="127">
        <v>2.09</v>
      </c>
      <c r="AD34" s="127">
        <v>3.1999999999999993</v>
      </c>
      <c r="AE34" s="127">
        <v>0</v>
      </c>
      <c r="AF34" s="127"/>
      <c r="AG34" s="127"/>
      <c r="AH34" s="127">
        <v>28.67</v>
      </c>
      <c r="AI34" s="127">
        <v>4.3899999999999997</v>
      </c>
      <c r="AJ34" s="127">
        <v>0</v>
      </c>
      <c r="AK34" s="127">
        <v>1.19</v>
      </c>
      <c r="AL34" s="127">
        <v>1.8</v>
      </c>
      <c r="AM34" s="127">
        <v>0</v>
      </c>
      <c r="AN34" s="127">
        <v>0</v>
      </c>
      <c r="AO34" s="127">
        <v>0</v>
      </c>
      <c r="AP34" s="127">
        <v>100.25</v>
      </c>
      <c r="AQ34" s="127">
        <v>9.26</v>
      </c>
      <c r="AR34" s="127">
        <v>0</v>
      </c>
      <c r="AS34" s="127">
        <v>2.82</v>
      </c>
      <c r="AT34" s="127">
        <v>5</v>
      </c>
      <c r="AU34" s="127">
        <v>0</v>
      </c>
      <c r="AV34" s="127">
        <v>0</v>
      </c>
      <c r="AW34" s="127">
        <v>0</v>
      </c>
      <c r="AX34" s="127"/>
      <c r="AY34" s="127"/>
      <c r="AZ34" s="127">
        <f t="shared" si="2"/>
        <v>300.71000000000004</v>
      </c>
      <c r="BA34" s="127">
        <f t="shared" si="3"/>
        <v>18.119999999999997</v>
      </c>
      <c r="BB34" s="127">
        <f t="shared" si="82"/>
        <v>0</v>
      </c>
      <c r="BC34" s="127">
        <f t="shared" si="82"/>
        <v>6.1</v>
      </c>
      <c r="BD34" s="127">
        <f t="shared" si="82"/>
        <v>15</v>
      </c>
      <c r="BE34" s="127">
        <f t="shared" si="82"/>
        <v>0</v>
      </c>
      <c r="BF34" s="127">
        <f t="shared" si="83"/>
        <v>0</v>
      </c>
      <c r="BG34" s="127">
        <f t="shared" si="83"/>
        <v>0</v>
      </c>
      <c r="BH34" s="2"/>
      <c r="BI34" s="2"/>
      <c r="BJ34" s="2"/>
      <c r="BK34" s="2"/>
    </row>
    <row r="35" spans="1:63" s="6" customFormat="1" ht="20.100000000000001" customHeight="1" x14ac:dyDescent="0.3">
      <c r="A35" s="76"/>
      <c r="B35" s="77" t="s">
        <v>26</v>
      </c>
      <c r="C35" s="78">
        <f>+C32+C33+C34</f>
        <v>1473.9</v>
      </c>
      <c r="D35" s="78">
        <f t="shared" ref="D35:V35" si="137">+D32+D33+D34</f>
        <v>833</v>
      </c>
      <c r="E35" s="78">
        <f t="shared" si="137"/>
        <v>0</v>
      </c>
      <c r="F35" s="78">
        <f t="shared" si="137"/>
        <v>138.1</v>
      </c>
      <c r="G35" s="78">
        <f t="shared" si="137"/>
        <v>40</v>
      </c>
      <c r="H35" s="78">
        <f t="shared" si="137"/>
        <v>0</v>
      </c>
      <c r="I35" s="78">
        <f t="shared" si="137"/>
        <v>99.38</v>
      </c>
      <c r="J35" s="78">
        <f t="shared" si="137"/>
        <v>0</v>
      </c>
      <c r="K35" s="78">
        <f t="shared" si="137"/>
        <v>0</v>
      </c>
      <c r="L35" s="78">
        <f t="shared" si="137"/>
        <v>104.62</v>
      </c>
      <c r="M35" s="78">
        <f t="shared" si="137"/>
        <v>10</v>
      </c>
      <c r="N35" s="78">
        <f t="shared" si="137"/>
        <v>114.62</v>
      </c>
      <c r="O35" s="78">
        <f t="shared" si="137"/>
        <v>1816</v>
      </c>
      <c r="P35" s="78">
        <f t="shared" si="137"/>
        <v>883</v>
      </c>
      <c r="Q35" s="78">
        <f t="shared" si="137"/>
        <v>2699</v>
      </c>
      <c r="R35" s="78">
        <f t="shared" si="137"/>
        <v>312.5</v>
      </c>
      <c r="S35" s="78">
        <f t="shared" si="137"/>
        <v>75</v>
      </c>
      <c r="T35" s="78">
        <f t="shared" si="137"/>
        <v>0</v>
      </c>
      <c r="U35" s="78">
        <f t="shared" si="137"/>
        <v>0</v>
      </c>
      <c r="V35" s="78">
        <f t="shared" si="137"/>
        <v>35.25</v>
      </c>
      <c r="W35" s="78">
        <f t="shared" ref="W35" si="138">+W32+W33+W34</f>
        <v>0</v>
      </c>
      <c r="X35" s="78">
        <f t="shared" ref="X35" si="139">+X32+X33+X34</f>
        <v>22.5</v>
      </c>
      <c r="Y35" s="114">
        <f t="shared" ref="Y35" si="140">+Y32+Y33+Y34</f>
        <v>1.5</v>
      </c>
      <c r="Z35" s="78">
        <f t="shared" ref="Z35" si="141">+Z32+Z33+Z34</f>
        <v>318.91999999999996</v>
      </c>
      <c r="AA35" s="78">
        <f t="shared" ref="AA35" si="142">+AA32+AA33+AA34</f>
        <v>51.430000000000007</v>
      </c>
      <c r="AB35" s="78">
        <f t="shared" ref="AB35" si="143">+AB32+AB33+AB34</f>
        <v>8.9699999999999989</v>
      </c>
      <c r="AC35" s="78">
        <f t="shared" ref="AC35" si="144">+AC32+AC33+AC34</f>
        <v>8.36</v>
      </c>
      <c r="AD35" s="78">
        <f t="shared" ref="AD35" si="145">+AD32+AD33+AD34</f>
        <v>5.5</v>
      </c>
      <c r="AE35" s="78">
        <f t="shared" ref="AE35" si="146">+AE32+AE33+AE34</f>
        <v>0</v>
      </c>
      <c r="AF35" s="78">
        <f t="shared" ref="AF35" si="147">+AF32+AF33+AF34</f>
        <v>0</v>
      </c>
      <c r="AG35" s="78">
        <f t="shared" ref="AG35" si="148">+AG32+AG33+AG34</f>
        <v>0</v>
      </c>
      <c r="AH35" s="78">
        <f t="shared" ref="AH35" si="149">+AH32+AH33+AH34</f>
        <v>105.39</v>
      </c>
      <c r="AI35" s="78">
        <f t="shared" ref="AI35" si="150">+AI32+AI33+AI34</f>
        <v>110.87</v>
      </c>
      <c r="AJ35" s="78">
        <f t="shared" ref="AJ35" si="151">+AJ32+AJ33+AJ34</f>
        <v>20.8</v>
      </c>
      <c r="AK35" s="78">
        <f t="shared" ref="AK35" si="152">+AK32+AK33+AK34</f>
        <v>4.7699999999999996</v>
      </c>
      <c r="AL35" s="78">
        <f t="shared" ref="AL35" si="153">+AL32+AL33+AL34</f>
        <v>8.94</v>
      </c>
      <c r="AM35" s="78">
        <f t="shared" ref="AM35" si="154">+AM32+AM33+AM34</f>
        <v>0</v>
      </c>
      <c r="AN35" s="78">
        <f t="shared" ref="AN35" si="155">+AN32+AN33+AN34</f>
        <v>29.81</v>
      </c>
      <c r="AO35" s="78">
        <f t="shared" ref="AO35" si="156">+AO32+AO33+AO34</f>
        <v>1.79</v>
      </c>
      <c r="AP35" s="78">
        <f t="shared" ref="AP35" si="157">+AP32+AP33+AP34</f>
        <v>368.48</v>
      </c>
      <c r="AQ35" s="78">
        <f t="shared" ref="AQ35" si="158">+AQ32+AQ33+AQ34</f>
        <v>233.82</v>
      </c>
      <c r="AR35" s="78">
        <f t="shared" ref="AR35" si="159">+AR32+AR33+AR34</f>
        <v>34.53</v>
      </c>
      <c r="AS35" s="78">
        <f t="shared" ref="AS35" si="160">+AS32+AS33+AS34</f>
        <v>11.27</v>
      </c>
      <c r="AT35" s="78">
        <f t="shared" ref="AT35" si="161">+AT32+AT33+AT34</f>
        <v>24.85</v>
      </c>
      <c r="AU35" s="78">
        <f t="shared" ref="AU35" si="162">+AU32+AU33+AU34</f>
        <v>0</v>
      </c>
      <c r="AV35" s="78">
        <f t="shared" ref="AV35:BG35" si="163">+AV32+AV33+AV34</f>
        <v>26.16</v>
      </c>
      <c r="AW35" s="78">
        <f t="shared" si="163"/>
        <v>2.82</v>
      </c>
      <c r="AX35" s="78">
        <f t="shared" si="163"/>
        <v>0</v>
      </c>
      <c r="AY35" s="78">
        <f t="shared" si="163"/>
        <v>0</v>
      </c>
      <c r="AZ35" s="78">
        <f t="shared" si="163"/>
        <v>1105.29</v>
      </c>
      <c r="BA35" s="78">
        <f t="shared" si="163"/>
        <v>471.12</v>
      </c>
      <c r="BB35" s="78">
        <f t="shared" si="163"/>
        <v>64.3</v>
      </c>
      <c r="BC35" s="78">
        <f t="shared" si="163"/>
        <v>24.4</v>
      </c>
      <c r="BD35" s="78">
        <f t="shared" si="163"/>
        <v>74.540000000000006</v>
      </c>
      <c r="BE35" s="78">
        <f t="shared" si="163"/>
        <v>0</v>
      </c>
      <c r="BF35" s="78">
        <f t="shared" si="163"/>
        <v>78.47</v>
      </c>
      <c r="BG35" s="78">
        <f t="shared" si="163"/>
        <v>6.1099999999999994</v>
      </c>
      <c r="BH35" s="78"/>
      <c r="BI35" s="78"/>
      <c r="BJ35" s="78"/>
      <c r="BK35" s="78"/>
    </row>
    <row r="36" spans="1:63" ht="20.100000000000001" customHeight="1" x14ac:dyDescent="0.35">
      <c r="A36" s="15">
        <v>24</v>
      </c>
      <c r="B36" s="16" t="s">
        <v>27</v>
      </c>
      <c r="C36" s="17">
        <v>1380</v>
      </c>
      <c r="D36" s="26">
        <v>277</v>
      </c>
      <c r="E36" s="19" t="e">
        <f>C36+D36+#REF!+#REF!</f>
        <v>#REF!</v>
      </c>
      <c r="F36" s="64">
        <v>14</v>
      </c>
      <c r="G36" s="64">
        <v>20</v>
      </c>
      <c r="H36" s="19"/>
      <c r="I36" s="26">
        <v>50</v>
      </c>
      <c r="J36" s="26">
        <v>0</v>
      </c>
      <c r="K36" s="19"/>
      <c r="L36" s="65">
        <v>415</v>
      </c>
      <c r="M36" s="65">
        <v>0</v>
      </c>
      <c r="N36" s="19">
        <f t="shared" si="5"/>
        <v>415</v>
      </c>
      <c r="O36" s="19">
        <f>C36+F36+I36+L36</f>
        <v>1859</v>
      </c>
      <c r="P36" s="20">
        <f>D36+G36+J36+M36</f>
        <v>297</v>
      </c>
      <c r="Q36" s="19">
        <f t="shared" si="1"/>
        <v>2156</v>
      </c>
      <c r="R36" s="17">
        <v>450</v>
      </c>
      <c r="S36" s="17">
        <v>12</v>
      </c>
      <c r="T36" s="17">
        <v>0</v>
      </c>
      <c r="U36" s="17">
        <v>0</v>
      </c>
      <c r="V36" s="17">
        <v>7.5</v>
      </c>
      <c r="W36" s="17">
        <v>0</v>
      </c>
      <c r="X36" s="17">
        <v>63.43</v>
      </c>
      <c r="Y36" s="113">
        <v>0</v>
      </c>
      <c r="Z36" s="127">
        <v>141.19000000000005</v>
      </c>
      <c r="AA36" s="127">
        <v>30.35</v>
      </c>
      <c r="AB36" s="127">
        <v>0</v>
      </c>
      <c r="AC36" s="127">
        <v>4.18</v>
      </c>
      <c r="AD36" s="127">
        <v>13</v>
      </c>
      <c r="AE36" s="127">
        <v>0</v>
      </c>
      <c r="AF36" s="127"/>
      <c r="AG36" s="127"/>
      <c r="AH36" s="127">
        <v>98.67</v>
      </c>
      <c r="AI36" s="127">
        <v>36.869999999999997</v>
      </c>
      <c r="AJ36" s="127">
        <v>3.13</v>
      </c>
      <c r="AK36" s="127">
        <v>2.39</v>
      </c>
      <c r="AL36" s="127">
        <v>4.5</v>
      </c>
      <c r="AM36" s="127">
        <v>0</v>
      </c>
      <c r="AN36" s="127">
        <v>70.97</v>
      </c>
      <c r="AO36" s="127">
        <v>0</v>
      </c>
      <c r="AP36" s="127">
        <v>345</v>
      </c>
      <c r="AQ36" s="127">
        <v>77.75</v>
      </c>
      <c r="AR36" s="127">
        <v>3.5</v>
      </c>
      <c r="AS36" s="127">
        <v>5.63</v>
      </c>
      <c r="AT36" s="127">
        <v>12.5</v>
      </c>
      <c r="AU36" s="127">
        <v>0</v>
      </c>
      <c r="AV36" s="127">
        <v>103.75</v>
      </c>
      <c r="AW36" s="127">
        <v>0</v>
      </c>
      <c r="AX36" s="127"/>
      <c r="AY36" s="127"/>
      <c r="AZ36" s="127">
        <f t="shared" si="2"/>
        <v>1034.8600000000001</v>
      </c>
      <c r="BA36" s="127">
        <f t="shared" si="3"/>
        <v>156.97</v>
      </c>
      <c r="BB36" s="127">
        <f t="shared" si="82"/>
        <v>6.63</v>
      </c>
      <c r="BC36" s="127">
        <f t="shared" si="82"/>
        <v>12.2</v>
      </c>
      <c r="BD36" s="127">
        <f t="shared" si="82"/>
        <v>37.5</v>
      </c>
      <c r="BE36" s="127">
        <f t="shared" si="82"/>
        <v>0</v>
      </c>
      <c r="BF36" s="127">
        <f t="shared" si="83"/>
        <v>238.15</v>
      </c>
      <c r="BG36" s="127">
        <f t="shared" si="83"/>
        <v>0</v>
      </c>
      <c r="BH36" s="2"/>
      <c r="BI36" s="2"/>
      <c r="BJ36" s="2"/>
      <c r="BK36" s="2"/>
    </row>
    <row r="37" spans="1:63" ht="20.100000000000001" customHeight="1" x14ac:dyDescent="0.35">
      <c r="A37" s="15">
        <v>25</v>
      </c>
      <c r="B37" s="16" t="s">
        <v>219</v>
      </c>
      <c r="C37" s="17">
        <v>150.75</v>
      </c>
      <c r="D37" s="26">
        <v>0</v>
      </c>
      <c r="E37" s="19" t="e">
        <f>C37+D37+#REF!+#REF!</f>
        <v>#REF!</v>
      </c>
      <c r="F37" s="64">
        <v>27</v>
      </c>
      <c r="G37" s="64">
        <v>0</v>
      </c>
      <c r="H37" s="19"/>
      <c r="I37" s="26">
        <v>40.25</v>
      </c>
      <c r="J37" s="26">
        <v>0</v>
      </c>
      <c r="K37" s="19"/>
      <c r="L37" s="65">
        <v>0</v>
      </c>
      <c r="M37" s="65">
        <v>0</v>
      </c>
      <c r="N37" s="19">
        <f t="shared" si="5"/>
        <v>0</v>
      </c>
      <c r="O37" s="19">
        <f>C37+F37+I37+L37</f>
        <v>218</v>
      </c>
      <c r="P37" s="20">
        <f>D37+G37+J37+M37</f>
        <v>0</v>
      </c>
      <c r="Q37" s="19">
        <f t="shared" si="1"/>
        <v>218</v>
      </c>
      <c r="R37" s="17">
        <v>37.5</v>
      </c>
      <c r="S37" s="17">
        <v>0</v>
      </c>
      <c r="T37" s="17">
        <v>23.95</v>
      </c>
      <c r="U37" s="17">
        <v>0</v>
      </c>
      <c r="V37" s="17">
        <v>10.06</v>
      </c>
      <c r="W37" s="17">
        <v>0</v>
      </c>
      <c r="X37" s="17">
        <v>0</v>
      </c>
      <c r="Y37" s="113">
        <v>0</v>
      </c>
      <c r="Z37" s="127">
        <v>27.08</v>
      </c>
      <c r="AA37" s="127">
        <v>0</v>
      </c>
      <c r="AB37" s="127">
        <v>0</v>
      </c>
      <c r="AC37" s="127">
        <v>0</v>
      </c>
      <c r="AD37" s="127">
        <v>6.4399999999999995</v>
      </c>
      <c r="AE37" s="127">
        <v>0</v>
      </c>
      <c r="AF37" s="127"/>
      <c r="AG37" s="127"/>
      <c r="AH37" s="127">
        <v>10.78</v>
      </c>
      <c r="AI37" s="127">
        <v>0</v>
      </c>
      <c r="AJ37" s="127">
        <v>3.0500000000000003</v>
      </c>
      <c r="AK37" s="127">
        <v>0</v>
      </c>
      <c r="AL37" s="127">
        <v>3.62</v>
      </c>
      <c r="AM37" s="127">
        <v>0</v>
      </c>
      <c r="AN37" s="127">
        <v>0</v>
      </c>
      <c r="AO37" s="127">
        <v>0</v>
      </c>
      <c r="AP37" s="127">
        <v>37.69</v>
      </c>
      <c r="AQ37" s="127">
        <v>0</v>
      </c>
      <c r="AR37" s="127">
        <v>0</v>
      </c>
      <c r="AS37" s="127">
        <v>0</v>
      </c>
      <c r="AT37" s="127">
        <v>10.06</v>
      </c>
      <c r="AU37" s="127">
        <v>0</v>
      </c>
      <c r="AV37" s="127">
        <v>0</v>
      </c>
      <c r="AW37" s="127">
        <v>0</v>
      </c>
      <c r="AX37" s="127"/>
      <c r="AY37" s="127"/>
      <c r="AZ37" s="127">
        <f t="shared" si="2"/>
        <v>113.05</v>
      </c>
      <c r="BA37" s="127">
        <f t="shared" si="3"/>
        <v>0</v>
      </c>
      <c r="BB37" s="127">
        <f t="shared" si="82"/>
        <v>27</v>
      </c>
      <c r="BC37" s="127">
        <f t="shared" si="82"/>
        <v>0</v>
      </c>
      <c r="BD37" s="127">
        <f t="shared" si="82"/>
        <v>30.18</v>
      </c>
      <c r="BE37" s="127">
        <f t="shared" si="82"/>
        <v>0</v>
      </c>
      <c r="BF37" s="127">
        <f t="shared" si="83"/>
        <v>0</v>
      </c>
      <c r="BG37" s="127">
        <f t="shared" si="83"/>
        <v>0</v>
      </c>
      <c r="BH37" s="2"/>
      <c r="BI37" s="2"/>
      <c r="BJ37" s="2"/>
      <c r="BK37" s="2"/>
    </row>
    <row r="38" spans="1:63" s="6" customFormat="1" ht="20.100000000000001" customHeight="1" x14ac:dyDescent="0.3">
      <c r="A38" s="76"/>
      <c r="B38" s="77" t="s">
        <v>27</v>
      </c>
      <c r="C38" s="78">
        <f>+C36+C37</f>
        <v>1530.75</v>
      </c>
      <c r="D38" s="78">
        <f t="shared" ref="D38:X38" si="164">+D36+D37</f>
        <v>277</v>
      </c>
      <c r="E38" s="78" t="e">
        <f t="shared" si="164"/>
        <v>#REF!</v>
      </c>
      <c r="F38" s="78">
        <f t="shared" si="164"/>
        <v>41</v>
      </c>
      <c r="G38" s="78">
        <f t="shared" si="164"/>
        <v>20</v>
      </c>
      <c r="H38" s="78">
        <f t="shared" si="164"/>
        <v>0</v>
      </c>
      <c r="I38" s="78">
        <f t="shared" si="164"/>
        <v>90.25</v>
      </c>
      <c r="J38" s="78">
        <f t="shared" si="164"/>
        <v>0</v>
      </c>
      <c r="K38" s="78">
        <f t="shared" si="164"/>
        <v>0</v>
      </c>
      <c r="L38" s="78">
        <f t="shared" si="164"/>
        <v>415</v>
      </c>
      <c r="M38" s="78">
        <f t="shared" si="164"/>
        <v>0</v>
      </c>
      <c r="N38" s="78">
        <f t="shared" si="164"/>
        <v>415</v>
      </c>
      <c r="O38" s="78">
        <f t="shared" si="164"/>
        <v>2077</v>
      </c>
      <c r="P38" s="78">
        <f t="shared" si="164"/>
        <v>297</v>
      </c>
      <c r="Q38" s="78">
        <f t="shared" si="164"/>
        <v>2374</v>
      </c>
      <c r="R38" s="78">
        <f t="shared" si="164"/>
        <v>487.5</v>
      </c>
      <c r="S38" s="78">
        <f t="shared" si="164"/>
        <v>12</v>
      </c>
      <c r="T38" s="78">
        <f t="shared" si="164"/>
        <v>23.95</v>
      </c>
      <c r="U38" s="78">
        <f t="shared" si="164"/>
        <v>0</v>
      </c>
      <c r="V38" s="78">
        <f t="shared" si="164"/>
        <v>17.560000000000002</v>
      </c>
      <c r="W38" s="78">
        <f t="shared" si="164"/>
        <v>0</v>
      </c>
      <c r="X38" s="78">
        <f t="shared" si="164"/>
        <v>63.43</v>
      </c>
      <c r="Y38" s="114">
        <f t="shared" ref="Y38" si="165">+Y36+Y37</f>
        <v>0</v>
      </c>
      <c r="Z38" s="78">
        <f t="shared" ref="Z38" si="166">+Z36+Z37</f>
        <v>168.27000000000004</v>
      </c>
      <c r="AA38" s="78">
        <f t="shared" ref="AA38" si="167">+AA36+AA37</f>
        <v>30.35</v>
      </c>
      <c r="AB38" s="78">
        <f t="shared" ref="AB38" si="168">+AB36+AB37</f>
        <v>0</v>
      </c>
      <c r="AC38" s="78">
        <f t="shared" ref="AC38" si="169">+AC36+AC37</f>
        <v>4.18</v>
      </c>
      <c r="AD38" s="78">
        <f t="shared" ref="AD38" si="170">+AD36+AD37</f>
        <v>19.439999999999998</v>
      </c>
      <c r="AE38" s="78">
        <f t="shared" ref="AE38" si="171">+AE36+AE37</f>
        <v>0</v>
      </c>
      <c r="AF38" s="78">
        <f t="shared" ref="AF38" si="172">+AF36+AF37</f>
        <v>0</v>
      </c>
      <c r="AG38" s="78">
        <f t="shared" ref="AG38" si="173">+AG36+AG37</f>
        <v>0</v>
      </c>
      <c r="AH38" s="78">
        <f t="shared" ref="AH38" si="174">+AH36+AH37</f>
        <v>109.45</v>
      </c>
      <c r="AI38" s="78">
        <f t="shared" ref="AI38" si="175">+AI36+AI37</f>
        <v>36.869999999999997</v>
      </c>
      <c r="AJ38" s="78">
        <f t="shared" ref="AJ38" si="176">+AJ36+AJ37</f>
        <v>6.18</v>
      </c>
      <c r="AK38" s="78">
        <f t="shared" ref="AK38" si="177">+AK36+AK37</f>
        <v>2.39</v>
      </c>
      <c r="AL38" s="78">
        <f t="shared" ref="AL38" si="178">+AL36+AL37</f>
        <v>8.120000000000001</v>
      </c>
      <c r="AM38" s="78">
        <f t="shared" ref="AM38" si="179">+AM36+AM37</f>
        <v>0</v>
      </c>
      <c r="AN38" s="78">
        <f t="shared" ref="AN38" si="180">+AN36+AN37</f>
        <v>70.97</v>
      </c>
      <c r="AO38" s="78">
        <f t="shared" ref="AO38" si="181">+AO36+AO37</f>
        <v>0</v>
      </c>
      <c r="AP38" s="78">
        <f t="shared" ref="AP38" si="182">+AP36+AP37</f>
        <v>382.69</v>
      </c>
      <c r="AQ38" s="78">
        <f t="shared" ref="AQ38" si="183">+AQ36+AQ37</f>
        <v>77.75</v>
      </c>
      <c r="AR38" s="78">
        <f t="shared" ref="AR38" si="184">+AR36+AR37</f>
        <v>3.5</v>
      </c>
      <c r="AS38" s="78">
        <f t="shared" ref="AS38" si="185">+AS36+AS37</f>
        <v>5.63</v>
      </c>
      <c r="AT38" s="78">
        <f t="shared" ref="AT38" si="186">+AT36+AT37</f>
        <v>22.560000000000002</v>
      </c>
      <c r="AU38" s="78">
        <f t="shared" ref="AU38" si="187">+AU36+AU37</f>
        <v>0</v>
      </c>
      <c r="AV38" s="78">
        <f t="shared" ref="AV38:BG38" si="188">+AV36+AV37</f>
        <v>103.75</v>
      </c>
      <c r="AW38" s="78">
        <f t="shared" si="188"/>
        <v>0</v>
      </c>
      <c r="AX38" s="78">
        <f t="shared" si="188"/>
        <v>0</v>
      </c>
      <c r="AY38" s="78">
        <f t="shared" si="188"/>
        <v>0</v>
      </c>
      <c r="AZ38" s="78">
        <f t="shared" si="188"/>
        <v>1147.9100000000001</v>
      </c>
      <c r="BA38" s="78">
        <f t="shared" si="188"/>
        <v>156.97</v>
      </c>
      <c r="BB38" s="78">
        <f t="shared" si="188"/>
        <v>33.630000000000003</v>
      </c>
      <c r="BC38" s="78">
        <f t="shared" si="188"/>
        <v>12.2</v>
      </c>
      <c r="BD38" s="78">
        <f t="shared" si="188"/>
        <v>67.680000000000007</v>
      </c>
      <c r="BE38" s="78">
        <f t="shared" si="188"/>
        <v>0</v>
      </c>
      <c r="BF38" s="78">
        <f t="shared" si="188"/>
        <v>238.15</v>
      </c>
      <c r="BG38" s="78">
        <f t="shared" si="188"/>
        <v>0</v>
      </c>
      <c r="BH38" s="78"/>
      <c r="BI38" s="78"/>
      <c r="BJ38" s="78"/>
      <c r="BK38" s="78"/>
    </row>
    <row r="39" spans="1:63" ht="20.100000000000001" customHeight="1" x14ac:dyDescent="0.35">
      <c r="A39" s="15">
        <v>26</v>
      </c>
      <c r="B39" s="16" t="s">
        <v>28</v>
      </c>
      <c r="C39" s="17">
        <v>586</v>
      </c>
      <c r="D39" s="26">
        <v>168</v>
      </c>
      <c r="E39" s="19" t="e">
        <f>C39+D39+#REF!+#REF!</f>
        <v>#REF!</v>
      </c>
      <c r="F39" s="64">
        <v>10</v>
      </c>
      <c r="G39" s="64">
        <v>20</v>
      </c>
      <c r="H39" s="19"/>
      <c r="I39" s="26">
        <v>30</v>
      </c>
      <c r="J39" s="26">
        <v>0</v>
      </c>
      <c r="K39" s="19"/>
      <c r="L39" s="65">
        <v>50</v>
      </c>
      <c r="M39" s="65">
        <v>10</v>
      </c>
      <c r="N39" s="19">
        <f t="shared" si="5"/>
        <v>60</v>
      </c>
      <c r="O39" s="19">
        <f>C39+F39+I39+L39</f>
        <v>676</v>
      </c>
      <c r="P39" s="20">
        <f>D39+G39+J39+M39</f>
        <v>198</v>
      </c>
      <c r="Q39" s="19">
        <f t="shared" si="1"/>
        <v>874</v>
      </c>
      <c r="R39" s="17">
        <v>147.5</v>
      </c>
      <c r="S39" s="17">
        <v>19.5</v>
      </c>
      <c r="T39" s="17">
        <v>5</v>
      </c>
      <c r="U39" s="17">
        <v>0</v>
      </c>
      <c r="V39" s="17">
        <v>5</v>
      </c>
      <c r="W39" s="17">
        <v>0</v>
      </c>
      <c r="X39" s="17">
        <v>22.5</v>
      </c>
      <c r="Y39" s="113">
        <v>1.5</v>
      </c>
      <c r="Z39" s="127">
        <v>103.53999999999999</v>
      </c>
      <c r="AA39" s="127">
        <v>11.46</v>
      </c>
      <c r="AB39" s="127">
        <v>0</v>
      </c>
      <c r="AC39" s="127">
        <v>4.18</v>
      </c>
      <c r="AD39" s="127">
        <v>7.3000000000000007</v>
      </c>
      <c r="AE39" s="127">
        <v>0</v>
      </c>
      <c r="AF39" s="127"/>
      <c r="AG39" s="127"/>
      <c r="AH39" s="127">
        <v>41.9</v>
      </c>
      <c r="AI39" s="127">
        <v>22.36</v>
      </c>
      <c r="AJ39" s="127">
        <v>1.51</v>
      </c>
      <c r="AK39" s="127">
        <v>2.39</v>
      </c>
      <c r="AL39" s="127">
        <v>2.7</v>
      </c>
      <c r="AM39" s="127">
        <v>0</v>
      </c>
      <c r="AN39" s="127">
        <v>2.5</v>
      </c>
      <c r="AO39" s="127">
        <v>1.79</v>
      </c>
      <c r="AP39" s="127">
        <v>146.5</v>
      </c>
      <c r="AQ39" s="127">
        <v>47.16</v>
      </c>
      <c r="AR39" s="127">
        <v>2.5</v>
      </c>
      <c r="AS39" s="127">
        <v>5.63</v>
      </c>
      <c r="AT39" s="127">
        <v>7.5</v>
      </c>
      <c r="AU39" s="127">
        <v>0</v>
      </c>
      <c r="AV39" s="127">
        <v>12.5</v>
      </c>
      <c r="AW39" s="127">
        <v>2.82</v>
      </c>
      <c r="AX39" s="127"/>
      <c r="AY39" s="127"/>
      <c r="AZ39" s="127">
        <f t="shared" si="2"/>
        <v>439.44</v>
      </c>
      <c r="BA39" s="127">
        <f t="shared" si="3"/>
        <v>100.47999999999999</v>
      </c>
      <c r="BB39" s="127">
        <f t="shared" si="82"/>
        <v>9.01</v>
      </c>
      <c r="BC39" s="127">
        <f t="shared" si="82"/>
        <v>12.2</v>
      </c>
      <c r="BD39" s="127">
        <f t="shared" si="82"/>
        <v>22.5</v>
      </c>
      <c r="BE39" s="127">
        <f t="shared" si="82"/>
        <v>0</v>
      </c>
      <c r="BF39" s="127">
        <f t="shared" si="83"/>
        <v>37.5</v>
      </c>
      <c r="BG39" s="127">
        <f t="shared" si="83"/>
        <v>6.1099999999999994</v>
      </c>
      <c r="BH39" s="2"/>
      <c r="BI39" s="2"/>
      <c r="BJ39" s="2"/>
      <c r="BK39" s="2"/>
    </row>
    <row r="40" spans="1:63" ht="20.100000000000001" customHeight="1" x14ac:dyDescent="0.35">
      <c r="A40" s="15">
        <v>27</v>
      </c>
      <c r="B40" s="16" t="s">
        <v>29</v>
      </c>
      <c r="C40" s="17">
        <v>345.91</v>
      </c>
      <c r="D40" s="26">
        <v>34</v>
      </c>
      <c r="E40" s="19" t="e">
        <f>C40+D40+#REF!+#REF!</f>
        <v>#REF!</v>
      </c>
      <c r="F40" s="64">
        <v>0</v>
      </c>
      <c r="G40" s="64">
        <v>10</v>
      </c>
      <c r="H40" s="19"/>
      <c r="I40" s="26">
        <v>12.09</v>
      </c>
      <c r="J40" s="26">
        <v>0</v>
      </c>
      <c r="K40" s="19"/>
      <c r="L40" s="65">
        <v>0</v>
      </c>
      <c r="M40" s="65">
        <v>0</v>
      </c>
      <c r="N40" s="19">
        <f t="shared" si="5"/>
        <v>0</v>
      </c>
      <c r="O40" s="19">
        <f>C40+F40+I40+L40</f>
        <v>358</v>
      </c>
      <c r="P40" s="20">
        <f>D40+G40+J40+M40</f>
        <v>44</v>
      </c>
      <c r="Q40" s="19">
        <f t="shared" si="1"/>
        <v>402</v>
      </c>
      <c r="R40" s="17">
        <v>90</v>
      </c>
      <c r="S40" s="17">
        <v>0</v>
      </c>
      <c r="T40" s="17">
        <v>0</v>
      </c>
      <c r="U40" s="17">
        <v>0</v>
      </c>
      <c r="V40" s="17">
        <v>5</v>
      </c>
      <c r="W40" s="17">
        <v>0</v>
      </c>
      <c r="X40" s="17">
        <v>0</v>
      </c>
      <c r="Y40" s="113">
        <v>0</v>
      </c>
      <c r="Z40" s="127">
        <v>58.19</v>
      </c>
      <c r="AA40" s="127">
        <v>4.67</v>
      </c>
      <c r="AB40" s="127">
        <v>0</v>
      </c>
      <c r="AC40" s="127">
        <v>2.09</v>
      </c>
      <c r="AD40" s="127">
        <v>-4.0000000000000036E-2</v>
      </c>
      <c r="AE40" s="127">
        <v>0</v>
      </c>
      <c r="AF40" s="127"/>
      <c r="AG40" s="127"/>
      <c r="AH40" s="127">
        <v>24.73</v>
      </c>
      <c r="AI40" s="127">
        <v>4.53</v>
      </c>
      <c r="AJ40" s="127">
        <v>0</v>
      </c>
      <c r="AK40" s="127">
        <v>1.19</v>
      </c>
      <c r="AL40" s="127">
        <v>1.0900000000000001</v>
      </c>
      <c r="AM40" s="127">
        <v>0</v>
      </c>
      <c r="AN40" s="127">
        <v>0</v>
      </c>
      <c r="AO40" s="127">
        <v>0</v>
      </c>
      <c r="AP40" s="127">
        <v>86.48</v>
      </c>
      <c r="AQ40" s="127">
        <v>9.5399999999999991</v>
      </c>
      <c r="AR40" s="127">
        <v>0</v>
      </c>
      <c r="AS40" s="127">
        <v>2.82</v>
      </c>
      <c r="AT40" s="127">
        <v>3.02</v>
      </c>
      <c r="AU40" s="127">
        <v>0</v>
      </c>
      <c r="AV40" s="127">
        <v>0</v>
      </c>
      <c r="AW40" s="127">
        <v>0</v>
      </c>
      <c r="AX40" s="127"/>
      <c r="AY40" s="127"/>
      <c r="AZ40" s="127">
        <f t="shared" si="2"/>
        <v>259.39999999999998</v>
      </c>
      <c r="BA40" s="127">
        <f t="shared" si="3"/>
        <v>18.740000000000002</v>
      </c>
      <c r="BB40" s="127">
        <f t="shared" si="82"/>
        <v>0</v>
      </c>
      <c r="BC40" s="127">
        <f t="shared" si="82"/>
        <v>6.1</v>
      </c>
      <c r="BD40" s="127">
        <f t="shared" si="82"/>
        <v>9.07</v>
      </c>
      <c r="BE40" s="127">
        <f t="shared" si="82"/>
        <v>0</v>
      </c>
      <c r="BF40" s="127">
        <f t="shared" si="83"/>
        <v>0</v>
      </c>
      <c r="BG40" s="127">
        <f t="shared" si="83"/>
        <v>0</v>
      </c>
      <c r="BH40" s="2"/>
      <c r="BI40" s="2"/>
      <c r="BJ40" s="2"/>
      <c r="BK40" s="2"/>
    </row>
    <row r="41" spans="1:63" s="6" customFormat="1" ht="20.100000000000001" customHeight="1" x14ac:dyDescent="0.3">
      <c r="A41" s="76"/>
      <c r="B41" s="77" t="s">
        <v>28</v>
      </c>
      <c r="C41" s="78">
        <f>+C39+C40</f>
        <v>931.91000000000008</v>
      </c>
      <c r="D41" s="78">
        <f t="shared" ref="D41:L41" si="189">+D39+D40</f>
        <v>202</v>
      </c>
      <c r="E41" s="78" t="e">
        <f t="shared" si="189"/>
        <v>#REF!</v>
      </c>
      <c r="F41" s="78">
        <f t="shared" si="189"/>
        <v>10</v>
      </c>
      <c r="G41" s="78">
        <f t="shared" si="189"/>
        <v>30</v>
      </c>
      <c r="H41" s="78">
        <f t="shared" si="189"/>
        <v>0</v>
      </c>
      <c r="I41" s="78">
        <f t="shared" si="189"/>
        <v>42.09</v>
      </c>
      <c r="J41" s="78">
        <f t="shared" si="189"/>
        <v>0</v>
      </c>
      <c r="K41" s="78">
        <f t="shared" si="189"/>
        <v>0</v>
      </c>
      <c r="L41" s="78">
        <f t="shared" si="189"/>
        <v>50</v>
      </c>
      <c r="M41" s="78">
        <f t="shared" ref="M41" si="190">+M39+M40</f>
        <v>10</v>
      </c>
      <c r="N41" s="78">
        <f t="shared" ref="N41" si="191">+N39+N40</f>
        <v>60</v>
      </c>
      <c r="O41" s="78">
        <f t="shared" ref="O41" si="192">+O39+O40</f>
        <v>1034</v>
      </c>
      <c r="P41" s="78">
        <f t="shared" ref="P41" si="193">+P39+P40</f>
        <v>242</v>
      </c>
      <c r="Q41" s="78">
        <f t="shared" ref="Q41" si="194">+Q39+Q40</f>
        <v>1276</v>
      </c>
      <c r="R41" s="78">
        <f t="shared" ref="R41" si="195">+R39+R40</f>
        <v>237.5</v>
      </c>
      <c r="S41" s="78">
        <f t="shared" ref="S41" si="196">+S39+S40</f>
        <v>19.5</v>
      </c>
      <c r="T41" s="78">
        <f t="shared" ref="T41" si="197">+T39+T40</f>
        <v>5</v>
      </c>
      <c r="U41" s="78">
        <f t="shared" ref="U41" si="198">+U39+U40</f>
        <v>0</v>
      </c>
      <c r="V41" s="78">
        <f t="shared" ref="V41" si="199">+V39+V40</f>
        <v>10</v>
      </c>
      <c r="W41" s="78">
        <f t="shared" ref="W41" si="200">+W39+W40</f>
        <v>0</v>
      </c>
      <c r="X41" s="78">
        <f t="shared" ref="X41" si="201">+X39+X40</f>
        <v>22.5</v>
      </c>
      <c r="Y41" s="114">
        <f t="shared" ref="Y41" si="202">+Y39+Y40</f>
        <v>1.5</v>
      </c>
      <c r="Z41" s="78">
        <f t="shared" ref="Z41" si="203">+Z39+Z40</f>
        <v>161.72999999999999</v>
      </c>
      <c r="AA41" s="78">
        <f t="shared" ref="AA41" si="204">+AA39+AA40</f>
        <v>16.130000000000003</v>
      </c>
      <c r="AB41" s="78">
        <f t="shared" ref="AB41" si="205">+AB39+AB40</f>
        <v>0</v>
      </c>
      <c r="AC41" s="78">
        <f t="shared" ref="AC41" si="206">+AC39+AC40</f>
        <v>6.27</v>
      </c>
      <c r="AD41" s="78">
        <f t="shared" ref="AD41" si="207">+AD39+AD40</f>
        <v>7.2600000000000007</v>
      </c>
      <c r="AE41" s="78">
        <f t="shared" ref="AE41" si="208">+AE39+AE40</f>
        <v>0</v>
      </c>
      <c r="AF41" s="78">
        <f t="shared" ref="AF41" si="209">+AF39+AF40</f>
        <v>0</v>
      </c>
      <c r="AG41" s="78">
        <f t="shared" ref="AG41" si="210">+AG39+AG40</f>
        <v>0</v>
      </c>
      <c r="AH41" s="78">
        <f t="shared" ref="AH41" si="211">+AH39+AH40</f>
        <v>66.63</v>
      </c>
      <c r="AI41" s="78">
        <f t="shared" ref="AI41" si="212">+AI39+AI40</f>
        <v>26.89</v>
      </c>
      <c r="AJ41" s="78">
        <f t="shared" ref="AJ41" si="213">+AJ39+AJ40</f>
        <v>1.51</v>
      </c>
      <c r="AK41" s="78">
        <f t="shared" ref="AK41" si="214">+AK39+AK40</f>
        <v>3.58</v>
      </c>
      <c r="AL41" s="78">
        <f t="shared" ref="AL41" si="215">+AL39+AL40</f>
        <v>3.79</v>
      </c>
      <c r="AM41" s="78">
        <f t="shared" ref="AM41" si="216">+AM39+AM40</f>
        <v>0</v>
      </c>
      <c r="AN41" s="78">
        <f t="shared" ref="AN41" si="217">+AN39+AN40</f>
        <v>2.5</v>
      </c>
      <c r="AO41" s="78">
        <f t="shared" ref="AO41" si="218">+AO39+AO40</f>
        <v>1.79</v>
      </c>
      <c r="AP41" s="78">
        <f t="shared" ref="AP41" si="219">+AP39+AP40</f>
        <v>232.98000000000002</v>
      </c>
      <c r="AQ41" s="78">
        <f t="shared" ref="AQ41" si="220">+AQ39+AQ40</f>
        <v>56.699999999999996</v>
      </c>
      <c r="AR41" s="78">
        <f t="shared" ref="AR41" si="221">+AR39+AR40</f>
        <v>2.5</v>
      </c>
      <c r="AS41" s="78">
        <f t="shared" ref="AS41" si="222">+AS39+AS40</f>
        <v>8.4499999999999993</v>
      </c>
      <c r="AT41" s="78">
        <f t="shared" ref="AT41" si="223">+AT39+AT40</f>
        <v>10.52</v>
      </c>
      <c r="AU41" s="78">
        <f t="shared" ref="AU41" si="224">+AU39+AU40</f>
        <v>0</v>
      </c>
      <c r="AV41" s="78">
        <f t="shared" ref="AV41" si="225">+AV39+AV40</f>
        <v>12.5</v>
      </c>
      <c r="AW41" s="78">
        <f t="shared" ref="AW41:BG41" si="226">+AW39+AW40</f>
        <v>2.82</v>
      </c>
      <c r="AX41" s="78">
        <f t="shared" si="226"/>
        <v>0</v>
      </c>
      <c r="AY41" s="78">
        <f t="shared" si="226"/>
        <v>0</v>
      </c>
      <c r="AZ41" s="78">
        <f t="shared" si="226"/>
        <v>698.83999999999992</v>
      </c>
      <c r="BA41" s="78">
        <f t="shared" si="226"/>
        <v>119.22</v>
      </c>
      <c r="BB41" s="78">
        <f t="shared" si="226"/>
        <v>9.01</v>
      </c>
      <c r="BC41" s="78">
        <f t="shared" si="226"/>
        <v>18.299999999999997</v>
      </c>
      <c r="BD41" s="78">
        <f t="shared" si="226"/>
        <v>31.57</v>
      </c>
      <c r="BE41" s="78">
        <f t="shared" si="226"/>
        <v>0</v>
      </c>
      <c r="BF41" s="78">
        <f t="shared" si="226"/>
        <v>37.5</v>
      </c>
      <c r="BG41" s="78">
        <f t="shared" si="226"/>
        <v>6.1099999999999994</v>
      </c>
      <c r="BH41" s="78"/>
      <c r="BI41" s="78"/>
      <c r="BJ41" s="78"/>
      <c r="BK41" s="78"/>
    </row>
    <row r="42" spans="1:63" ht="20.100000000000001" customHeight="1" x14ac:dyDescent="0.35">
      <c r="A42" s="15">
        <v>28</v>
      </c>
      <c r="B42" s="16" t="s">
        <v>30</v>
      </c>
      <c r="C42" s="17">
        <v>1508</v>
      </c>
      <c r="D42" s="36">
        <v>712</v>
      </c>
      <c r="E42" s="19" t="e">
        <f>C42+D42+#REF!+#REF!</f>
        <v>#REF!</v>
      </c>
      <c r="F42" s="64">
        <v>165.3</v>
      </c>
      <c r="G42" s="64">
        <v>50</v>
      </c>
      <c r="H42" s="19"/>
      <c r="I42" s="26">
        <v>30</v>
      </c>
      <c r="J42" s="26">
        <v>0</v>
      </c>
      <c r="K42" s="19"/>
      <c r="L42" s="65">
        <v>103.8</v>
      </c>
      <c r="M42" s="65">
        <v>15</v>
      </c>
      <c r="N42" s="19">
        <f t="shared" si="5"/>
        <v>118.8</v>
      </c>
      <c r="O42" s="19">
        <f t="shared" ref="O42:P44" si="227">C42+F42+I42+L42</f>
        <v>1807.1</v>
      </c>
      <c r="P42" s="20">
        <f t="shared" si="227"/>
        <v>777</v>
      </c>
      <c r="Q42" s="19">
        <f t="shared" si="1"/>
        <v>2584.1</v>
      </c>
      <c r="R42" s="17">
        <v>425</v>
      </c>
      <c r="S42" s="17">
        <v>34.5</v>
      </c>
      <c r="T42" s="17">
        <v>31.6</v>
      </c>
      <c r="U42" s="17">
        <v>0</v>
      </c>
      <c r="V42" s="17">
        <v>12.5</v>
      </c>
      <c r="W42" s="17">
        <v>0</v>
      </c>
      <c r="X42" s="17">
        <v>100</v>
      </c>
      <c r="Y42" s="113">
        <v>15</v>
      </c>
      <c r="Z42" s="127">
        <v>221.02999999999997</v>
      </c>
      <c r="AA42" s="127">
        <v>55.19</v>
      </c>
      <c r="AB42" s="127">
        <v>10.019999999999994</v>
      </c>
      <c r="AC42" s="127">
        <v>10.46</v>
      </c>
      <c r="AD42" s="127">
        <v>-0.19999999999999929</v>
      </c>
      <c r="AE42" s="127">
        <v>0</v>
      </c>
      <c r="AF42" s="127"/>
      <c r="AG42" s="127"/>
      <c r="AH42" s="127">
        <v>107.82</v>
      </c>
      <c r="AI42" s="127">
        <v>94.77</v>
      </c>
      <c r="AJ42" s="127">
        <v>24.89</v>
      </c>
      <c r="AK42" s="127">
        <v>5.97</v>
      </c>
      <c r="AL42" s="127">
        <v>2.7</v>
      </c>
      <c r="AM42" s="127">
        <v>0</v>
      </c>
      <c r="AN42" s="127">
        <v>0</v>
      </c>
      <c r="AO42" s="127">
        <v>0</v>
      </c>
      <c r="AP42" s="127">
        <v>377</v>
      </c>
      <c r="AQ42" s="127">
        <v>199.86</v>
      </c>
      <c r="AR42" s="127">
        <v>41.33</v>
      </c>
      <c r="AS42" s="127">
        <v>14.08</v>
      </c>
      <c r="AT42" s="127">
        <v>7.5</v>
      </c>
      <c r="AU42" s="127">
        <v>0</v>
      </c>
      <c r="AV42" s="127">
        <v>3.8</v>
      </c>
      <c r="AW42" s="127">
        <v>0</v>
      </c>
      <c r="AX42" s="127"/>
      <c r="AY42" s="127"/>
      <c r="AZ42" s="127">
        <f t="shared" si="2"/>
        <v>1130.8499999999999</v>
      </c>
      <c r="BA42" s="127">
        <f t="shared" si="3"/>
        <v>384.32</v>
      </c>
      <c r="BB42" s="127">
        <f t="shared" si="82"/>
        <v>107.84</v>
      </c>
      <c r="BC42" s="127">
        <f t="shared" si="82"/>
        <v>30.51</v>
      </c>
      <c r="BD42" s="127">
        <f t="shared" si="82"/>
        <v>22.5</v>
      </c>
      <c r="BE42" s="127">
        <f t="shared" si="82"/>
        <v>0</v>
      </c>
      <c r="BF42" s="127">
        <f t="shared" si="83"/>
        <v>103.8</v>
      </c>
      <c r="BG42" s="127">
        <f t="shared" si="83"/>
        <v>15</v>
      </c>
      <c r="BH42" s="2"/>
      <c r="BI42" s="2"/>
      <c r="BJ42" s="2"/>
      <c r="BK42" s="2"/>
    </row>
    <row r="43" spans="1:63" ht="20.100000000000001" customHeight="1" x14ac:dyDescent="0.35">
      <c r="A43" s="15">
        <v>29</v>
      </c>
      <c r="B43" s="16" t="s">
        <v>31</v>
      </c>
      <c r="C43" s="17">
        <v>106</v>
      </c>
      <c r="D43" s="26">
        <v>20</v>
      </c>
      <c r="E43" s="19" t="e">
        <f>C43+D43+#REF!+#REF!</f>
        <v>#REF!</v>
      </c>
      <c r="F43" s="64">
        <v>25</v>
      </c>
      <c r="G43" s="64">
        <v>5</v>
      </c>
      <c r="H43" s="19"/>
      <c r="I43" s="26">
        <v>30</v>
      </c>
      <c r="J43" s="26">
        <v>0</v>
      </c>
      <c r="K43" s="19"/>
      <c r="L43" s="65">
        <v>0</v>
      </c>
      <c r="M43" s="65">
        <v>0</v>
      </c>
      <c r="N43" s="19">
        <f t="shared" si="5"/>
        <v>0</v>
      </c>
      <c r="O43" s="19">
        <f t="shared" si="227"/>
        <v>161</v>
      </c>
      <c r="P43" s="20">
        <f t="shared" si="227"/>
        <v>25</v>
      </c>
      <c r="Q43" s="19">
        <f t="shared" si="1"/>
        <v>186</v>
      </c>
      <c r="R43" s="17">
        <v>25</v>
      </c>
      <c r="S43" s="17">
        <v>0</v>
      </c>
      <c r="T43" s="17">
        <v>0</v>
      </c>
      <c r="U43" s="17">
        <v>0</v>
      </c>
      <c r="V43" s="17">
        <v>7.5</v>
      </c>
      <c r="W43" s="17">
        <v>0</v>
      </c>
      <c r="X43" s="17">
        <v>0</v>
      </c>
      <c r="Y43" s="113">
        <v>0</v>
      </c>
      <c r="Z43" s="127">
        <v>20.409999999999997</v>
      </c>
      <c r="AA43" s="127">
        <v>3.92</v>
      </c>
      <c r="AB43" s="127">
        <v>5.74</v>
      </c>
      <c r="AC43" s="127">
        <v>1.05</v>
      </c>
      <c r="AD43" s="127">
        <v>4.8000000000000007</v>
      </c>
      <c r="AE43" s="127">
        <v>0</v>
      </c>
      <c r="AF43" s="127"/>
      <c r="AG43" s="127"/>
      <c r="AH43" s="127">
        <v>7.58</v>
      </c>
      <c r="AI43" s="127">
        <v>2.66</v>
      </c>
      <c r="AJ43" s="127">
        <v>3.77</v>
      </c>
      <c r="AK43" s="127">
        <v>0.6</v>
      </c>
      <c r="AL43" s="127">
        <v>2.7</v>
      </c>
      <c r="AM43" s="127">
        <v>0</v>
      </c>
      <c r="AN43" s="127">
        <v>0</v>
      </c>
      <c r="AO43" s="127">
        <v>0</v>
      </c>
      <c r="AP43" s="127">
        <v>26.5</v>
      </c>
      <c r="AQ43" s="127">
        <v>5.61</v>
      </c>
      <c r="AR43" s="127">
        <v>6.25</v>
      </c>
      <c r="AS43" s="127">
        <v>1.41</v>
      </c>
      <c r="AT43" s="127">
        <v>7.5</v>
      </c>
      <c r="AU43" s="127">
        <v>0</v>
      </c>
      <c r="AV43" s="127">
        <v>0</v>
      </c>
      <c r="AW43" s="127">
        <v>0</v>
      </c>
      <c r="AX43" s="127"/>
      <c r="AY43" s="127"/>
      <c r="AZ43" s="127">
        <f t="shared" si="2"/>
        <v>79.489999999999995</v>
      </c>
      <c r="BA43" s="127">
        <f t="shared" si="3"/>
        <v>12.19</v>
      </c>
      <c r="BB43" s="127">
        <f t="shared" si="82"/>
        <v>15.76</v>
      </c>
      <c r="BC43" s="127">
        <f t="shared" si="82"/>
        <v>3.0599999999999996</v>
      </c>
      <c r="BD43" s="127">
        <f t="shared" si="82"/>
        <v>22.5</v>
      </c>
      <c r="BE43" s="127">
        <f t="shared" si="82"/>
        <v>0</v>
      </c>
      <c r="BF43" s="127">
        <f t="shared" si="83"/>
        <v>0</v>
      </c>
      <c r="BG43" s="127">
        <f t="shared" si="83"/>
        <v>0</v>
      </c>
      <c r="BH43" s="2"/>
      <c r="BI43" s="2"/>
      <c r="BJ43" s="2"/>
      <c r="BK43" s="2"/>
    </row>
    <row r="44" spans="1:63" ht="20.100000000000001" customHeight="1" x14ac:dyDescent="0.35">
      <c r="A44" s="15">
        <v>30</v>
      </c>
      <c r="B44" s="16" t="s">
        <v>32</v>
      </c>
      <c r="C44" s="17">
        <v>529</v>
      </c>
      <c r="D44" s="26">
        <v>90</v>
      </c>
      <c r="E44" s="19" t="e">
        <f>C44+D44+#REF!+#REF!</f>
        <v>#REF!</v>
      </c>
      <c r="F44" s="64">
        <v>0</v>
      </c>
      <c r="G44" s="64">
        <v>0</v>
      </c>
      <c r="H44" s="19"/>
      <c r="I44" s="26">
        <v>0</v>
      </c>
      <c r="J44" s="26">
        <v>0</v>
      </c>
      <c r="K44" s="19"/>
      <c r="L44" s="65">
        <v>0</v>
      </c>
      <c r="M44" s="65">
        <v>0</v>
      </c>
      <c r="N44" s="19">
        <f t="shared" si="5"/>
        <v>0</v>
      </c>
      <c r="O44" s="19">
        <f t="shared" si="227"/>
        <v>529</v>
      </c>
      <c r="P44" s="20">
        <f t="shared" si="227"/>
        <v>90</v>
      </c>
      <c r="Q44" s="19">
        <f t="shared" si="1"/>
        <v>619</v>
      </c>
      <c r="R44" s="17">
        <v>75</v>
      </c>
      <c r="S44" s="17">
        <v>0.75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13">
        <v>0</v>
      </c>
      <c r="Z44" s="127">
        <v>151.62</v>
      </c>
      <c r="AA44" s="127">
        <v>12.91</v>
      </c>
      <c r="AB44" s="127">
        <v>0</v>
      </c>
      <c r="AC44" s="127">
        <v>0</v>
      </c>
      <c r="AD44" s="127">
        <v>0</v>
      </c>
      <c r="AE44" s="127">
        <v>0</v>
      </c>
      <c r="AF44" s="127"/>
      <c r="AG44" s="127"/>
      <c r="AH44" s="127">
        <v>37.82</v>
      </c>
      <c r="AI44" s="127">
        <v>11.98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132.25</v>
      </c>
      <c r="AQ44" s="127">
        <v>25.26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/>
      <c r="AY44" s="127"/>
      <c r="AZ44" s="127">
        <f t="shared" si="2"/>
        <v>396.69</v>
      </c>
      <c r="BA44" s="127">
        <f t="shared" si="3"/>
        <v>50.900000000000006</v>
      </c>
      <c r="BB44" s="127">
        <f t="shared" si="82"/>
        <v>0</v>
      </c>
      <c r="BC44" s="127">
        <f t="shared" si="82"/>
        <v>0</v>
      </c>
      <c r="BD44" s="127">
        <f t="shared" si="82"/>
        <v>0</v>
      </c>
      <c r="BE44" s="127">
        <f t="shared" si="82"/>
        <v>0</v>
      </c>
      <c r="BF44" s="127">
        <f t="shared" si="83"/>
        <v>0</v>
      </c>
      <c r="BG44" s="127">
        <f t="shared" si="83"/>
        <v>0</v>
      </c>
      <c r="BH44" s="2"/>
      <c r="BI44" s="2"/>
      <c r="BJ44" s="2"/>
      <c r="BK44" s="2"/>
    </row>
    <row r="45" spans="1:63" s="6" customFormat="1" ht="20.100000000000001" customHeight="1" x14ac:dyDescent="0.3">
      <c r="A45" s="76"/>
      <c r="B45" s="77" t="s">
        <v>30</v>
      </c>
      <c r="C45" s="78">
        <f t="shared" ref="C45" si="228">+C42+C43+C44</f>
        <v>2143</v>
      </c>
      <c r="D45" s="78">
        <f t="shared" ref="D45" si="229">+D42+D43+D44</f>
        <v>822</v>
      </c>
      <c r="E45" s="78" t="e">
        <f t="shared" ref="E45" si="230">+E42+E43+E44</f>
        <v>#REF!</v>
      </c>
      <c r="F45" s="78">
        <f t="shared" ref="F45" si="231">+F42+F43+F44</f>
        <v>190.3</v>
      </c>
      <c r="G45" s="78">
        <f t="shared" ref="G45" si="232">+G42+G43+G44</f>
        <v>55</v>
      </c>
      <c r="H45" s="78">
        <f t="shared" ref="H45" si="233">+H42+H43+H44</f>
        <v>0</v>
      </c>
      <c r="I45" s="78">
        <f t="shared" ref="I45" si="234">+I42+I43+I44</f>
        <v>60</v>
      </c>
      <c r="J45" s="78">
        <f t="shared" ref="J45" si="235">+J42+J43+J44</f>
        <v>0</v>
      </c>
      <c r="K45" s="78">
        <f t="shared" ref="K45" si="236">+K42+K43+K44</f>
        <v>0</v>
      </c>
      <c r="L45" s="78">
        <f t="shared" ref="L45" si="237">+L42+L43+L44</f>
        <v>103.8</v>
      </c>
      <c r="M45" s="78">
        <f t="shared" ref="M45" si="238">+M42+M43+M44</f>
        <v>15</v>
      </c>
      <c r="N45" s="78">
        <f t="shared" ref="N45" si="239">+N42+N43+N44</f>
        <v>118.8</v>
      </c>
      <c r="O45" s="78">
        <f t="shared" ref="O45" si="240">+O42+O43+O44</f>
        <v>2497.1</v>
      </c>
      <c r="P45" s="78">
        <f t="shared" ref="P45" si="241">+P42+P43+P44</f>
        <v>892</v>
      </c>
      <c r="Q45" s="78">
        <f t="shared" ref="Q45" si="242">+Q42+Q43+Q44</f>
        <v>3389.1</v>
      </c>
      <c r="R45" s="78">
        <f t="shared" ref="R45" si="243">+R42+R43+R44</f>
        <v>525</v>
      </c>
      <c r="S45" s="78">
        <f t="shared" ref="S45" si="244">+S42+S43+S44</f>
        <v>35.25</v>
      </c>
      <c r="T45" s="78">
        <f t="shared" ref="T45" si="245">+T42+T43+T44</f>
        <v>31.6</v>
      </c>
      <c r="U45" s="78">
        <f t="shared" ref="U45" si="246">+U42+U43+U44</f>
        <v>0</v>
      </c>
      <c r="V45" s="78">
        <f t="shared" ref="V45" si="247">+V42+V43+V44</f>
        <v>20</v>
      </c>
      <c r="W45" s="78">
        <f t="shared" ref="W45" si="248">+W42+W43+W44</f>
        <v>0</v>
      </c>
      <c r="X45" s="78">
        <f t="shared" ref="X45" si="249">+X42+X43+X44</f>
        <v>100</v>
      </c>
      <c r="Y45" s="114">
        <f t="shared" ref="Y45" si="250">+Y42+Y43+Y44</f>
        <v>15</v>
      </c>
      <c r="Z45" s="78">
        <f t="shared" ref="Z45" si="251">+Z42+Z43+Z44</f>
        <v>393.05999999999995</v>
      </c>
      <c r="AA45" s="78">
        <f t="shared" ref="AA45" si="252">+AA42+AA43+AA44</f>
        <v>72.02</v>
      </c>
      <c r="AB45" s="78">
        <f t="shared" ref="AB45" si="253">+AB42+AB43+AB44</f>
        <v>15.759999999999994</v>
      </c>
      <c r="AC45" s="78">
        <f t="shared" ref="AC45" si="254">+AC42+AC43+AC44</f>
        <v>11.510000000000002</v>
      </c>
      <c r="AD45" s="78">
        <f t="shared" ref="AD45" si="255">+AD42+AD43+AD44</f>
        <v>4.6000000000000014</v>
      </c>
      <c r="AE45" s="78">
        <f t="shared" ref="AE45" si="256">+AE42+AE43+AE44</f>
        <v>0</v>
      </c>
      <c r="AF45" s="78">
        <f t="shared" ref="AF45" si="257">+AF42+AF43+AF44</f>
        <v>0</v>
      </c>
      <c r="AG45" s="78">
        <f t="shared" ref="AG45" si="258">+AG42+AG43+AG44</f>
        <v>0</v>
      </c>
      <c r="AH45" s="78">
        <f t="shared" ref="AH45" si="259">+AH42+AH43+AH44</f>
        <v>153.22</v>
      </c>
      <c r="AI45" s="78">
        <f t="shared" ref="AI45" si="260">+AI42+AI43+AI44</f>
        <v>109.41</v>
      </c>
      <c r="AJ45" s="78">
        <f t="shared" ref="AJ45" si="261">+AJ42+AJ43+AJ44</f>
        <v>28.66</v>
      </c>
      <c r="AK45" s="78">
        <f t="shared" ref="AK45" si="262">+AK42+AK43+AK44</f>
        <v>6.5699999999999994</v>
      </c>
      <c r="AL45" s="78">
        <f t="shared" ref="AL45" si="263">+AL42+AL43+AL44</f>
        <v>5.4</v>
      </c>
      <c r="AM45" s="78">
        <f t="shared" ref="AM45" si="264">+AM42+AM43+AM44</f>
        <v>0</v>
      </c>
      <c r="AN45" s="78">
        <f t="shared" ref="AN45" si="265">+AN42+AN43+AN44</f>
        <v>0</v>
      </c>
      <c r="AO45" s="78">
        <f t="shared" ref="AO45" si="266">+AO42+AO43+AO44</f>
        <v>0</v>
      </c>
      <c r="AP45" s="78">
        <f t="shared" ref="AP45" si="267">+AP42+AP43+AP44</f>
        <v>535.75</v>
      </c>
      <c r="AQ45" s="78">
        <f t="shared" ref="AQ45" si="268">+AQ42+AQ43+AQ44</f>
        <v>230.73000000000002</v>
      </c>
      <c r="AR45" s="78">
        <f t="shared" ref="AR45" si="269">+AR42+AR43+AR44</f>
        <v>47.58</v>
      </c>
      <c r="AS45" s="78">
        <f t="shared" ref="AS45" si="270">+AS42+AS43+AS44</f>
        <v>15.49</v>
      </c>
      <c r="AT45" s="78">
        <f t="shared" ref="AT45" si="271">+AT42+AT43+AT44</f>
        <v>15</v>
      </c>
      <c r="AU45" s="78">
        <f t="shared" ref="AU45" si="272">+AU42+AU43+AU44</f>
        <v>0</v>
      </c>
      <c r="AV45" s="78">
        <f t="shared" ref="AV45" si="273">+AV42+AV43+AV44</f>
        <v>3.8</v>
      </c>
      <c r="AW45" s="78">
        <f t="shared" ref="AW45:BG45" si="274">+AW42+AW43+AW44</f>
        <v>0</v>
      </c>
      <c r="AX45" s="78">
        <f t="shared" si="274"/>
        <v>0</v>
      </c>
      <c r="AY45" s="78">
        <f t="shared" si="274"/>
        <v>0</v>
      </c>
      <c r="AZ45" s="78">
        <f t="shared" si="274"/>
        <v>1607.03</v>
      </c>
      <c r="BA45" s="78">
        <f t="shared" si="274"/>
        <v>447.40999999999997</v>
      </c>
      <c r="BB45" s="78">
        <f t="shared" si="274"/>
        <v>123.60000000000001</v>
      </c>
      <c r="BC45" s="78">
        <f t="shared" si="274"/>
        <v>33.57</v>
      </c>
      <c r="BD45" s="78">
        <f t="shared" si="274"/>
        <v>45</v>
      </c>
      <c r="BE45" s="78">
        <f t="shared" si="274"/>
        <v>0</v>
      </c>
      <c r="BF45" s="78">
        <f t="shared" si="274"/>
        <v>103.8</v>
      </c>
      <c r="BG45" s="78">
        <f t="shared" si="274"/>
        <v>15</v>
      </c>
      <c r="BH45" s="84"/>
      <c r="BI45" s="84"/>
      <c r="BJ45" s="84"/>
      <c r="BK45" s="84"/>
    </row>
    <row r="46" spans="1:63" ht="20.100000000000001" customHeight="1" x14ac:dyDescent="0.35">
      <c r="A46" s="15">
        <v>31</v>
      </c>
      <c r="B46" s="16" t="s">
        <v>33</v>
      </c>
      <c r="C46" s="17">
        <v>588</v>
      </c>
      <c r="D46" s="26">
        <v>792</v>
      </c>
      <c r="E46" s="19" t="e">
        <f>C46+D46+#REF!+#REF!</f>
        <v>#REF!</v>
      </c>
      <c r="F46" s="64">
        <v>0</v>
      </c>
      <c r="G46" s="64">
        <v>20</v>
      </c>
      <c r="H46" s="19"/>
      <c r="I46" s="26">
        <v>40</v>
      </c>
      <c r="J46" s="26">
        <v>0</v>
      </c>
      <c r="K46" s="19"/>
      <c r="L46" s="65">
        <v>50</v>
      </c>
      <c r="M46" s="65">
        <v>4.5</v>
      </c>
      <c r="N46" s="19">
        <f t="shared" si="5"/>
        <v>54.5</v>
      </c>
      <c r="O46" s="19">
        <f t="shared" ref="O46:P50" si="275">C46+F46+I46+L46</f>
        <v>678</v>
      </c>
      <c r="P46" s="20">
        <f t="shared" si="275"/>
        <v>816.5</v>
      </c>
      <c r="Q46" s="19">
        <f t="shared" si="1"/>
        <v>1494.5</v>
      </c>
      <c r="R46" s="17">
        <v>187.5</v>
      </c>
      <c r="S46" s="17">
        <v>10.5</v>
      </c>
      <c r="T46" s="17">
        <v>0</v>
      </c>
      <c r="U46" s="17">
        <v>0</v>
      </c>
      <c r="V46" s="17">
        <v>12.5</v>
      </c>
      <c r="W46" s="17">
        <v>0</v>
      </c>
      <c r="X46" s="17">
        <v>35</v>
      </c>
      <c r="Y46" s="113">
        <v>4.5</v>
      </c>
      <c r="Z46" s="127">
        <v>64.400000000000006</v>
      </c>
      <c r="AA46" s="127">
        <v>74.889999999999986</v>
      </c>
      <c r="AB46" s="127">
        <v>0</v>
      </c>
      <c r="AC46" s="127">
        <v>4.18</v>
      </c>
      <c r="AD46" s="127">
        <v>3.8999999999999986</v>
      </c>
      <c r="AE46" s="127">
        <v>0</v>
      </c>
      <c r="AF46" s="127"/>
      <c r="AG46" s="127"/>
      <c r="AH46" s="127">
        <v>42.04</v>
      </c>
      <c r="AI46" s="127">
        <v>105.42</v>
      </c>
      <c r="AJ46" s="127">
        <v>0</v>
      </c>
      <c r="AK46" s="127">
        <v>2.39</v>
      </c>
      <c r="AL46" s="127">
        <v>3.6</v>
      </c>
      <c r="AM46" s="127">
        <v>0</v>
      </c>
      <c r="AN46" s="127">
        <v>0</v>
      </c>
      <c r="AO46" s="127">
        <v>0</v>
      </c>
      <c r="AP46" s="127">
        <v>147</v>
      </c>
      <c r="AQ46" s="127">
        <v>222.31</v>
      </c>
      <c r="AR46" s="127">
        <v>0</v>
      </c>
      <c r="AS46" s="127">
        <v>5.63</v>
      </c>
      <c r="AT46" s="127">
        <v>10</v>
      </c>
      <c r="AU46" s="127">
        <v>0</v>
      </c>
      <c r="AV46" s="127">
        <v>12.5</v>
      </c>
      <c r="AW46" s="127">
        <v>0</v>
      </c>
      <c r="AX46" s="127"/>
      <c r="AY46" s="127"/>
      <c r="AZ46" s="127">
        <f t="shared" si="2"/>
        <v>440.94</v>
      </c>
      <c r="BA46" s="127">
        <f t="shared" si="3"/>
        <v>413.12</v>
      </c>
      <c r="BB46" s="127">
        <f t="shared" si="82"/>
        <v>0</v>
      </c>
      <c r="BC46" s="127">
        <f t="shared" si="82"/>
        <v>12.2</v>
      </c>
      <c r="BD46" s="127">
        <f t="shared" si="82"/>
        <v>30</v>
      </c>
      <c r="BE46" s="127">
        <f t="shared" si="82"/>
        <v>0</v>
      </c>
      <c r="BF46" s="127">
        <f t="shared" si="83"/>
        <v>47.5</v>
      </c>
      <c r="BG46" s="127">
        <f t="shared" si="83"/>
        <v>4.5</v>
      </c>
      <c r="BH46" s="2"/>
      <c r="BI46" s="2"/>
      <c r="BJ46" s="2"/>
      <c r="BK46" s="2"/>
    </row>
    <row r="47" spans="1:63" ht="20.100000000000001" customHeight="1" x14ac:dyDescent="0.35">
      <c r="A47" s="15">
        <v>32</v>
      </c>
      <c r="B47" s="16" t="s">
        <v>34</v>
      </c>
      <c r="C47" s="17">
        <v>370</v>
      </c>
      <c r="D47" s="26">
        <v>614</v>
      </c>
      <c r="E47" s="19" t="e">
        <f>C47+D47+#REF!+#REF!</f>
        <v>#REF!</v>
      </c>
      <c r="F47" s="64">
        <v>75</v>
      </c>
      <c r="G47" s="64">
        <v>20</v>
      </c>
      <c r="H47" s="19"/>
      <c r="I47" s="26">
        <v>50</v>
      </c>
      <c r="J47" s="26">
        <v>30</v>
      </c>
      <c r="K47" s="19"/>
      <c r="L47" s="65">
        <v>95</v>
      </c>
      <c r="M47" s="65">
        <v>30</v>
      </c>
      <c r="N47" s="19">
        <f t="shared" si="5"/>
        <v>125</v>
      </c>
      <c r="O47" s="19">
        <f t="shared" si="275"/>
        <v>590</v>
      </c>
      <c r="P47" s="20">
        <f t="shared" si="275"/>
        <v>694</v>
      </c>
      <c r="Q47" s="19">
        <f t="shared" si="1"/>
        <v>1284</v>
      </c>
      <c r="R47" s="17">
        <v>106.25</v>
      </c>
      <c r="S47" s="17">
        <v>105</v>
      </c>
      <c r="T47" s="17">
        <v>3.75</v>
      </c>
      <c r="U47" s="17">
        <v>0</v>
      </c>
      <c r="V47" s="17">
        <v>7.5</v>
      </c>
      <c r="W47" s="17">
        <v>4.5</v>
      </c>
      <c r="X47" s="17">
        <v>42.5</v>
      </c>
      <c r="Y47" s="113">
        <v>7.5</v>
      </c>
      <c r="Z47" s="127">
        <v>52.259999999999991</v>
      </c>
      <c r="AA47" s="127">
        <v>13.469999999999999</v>
      </c>
      <c r="AB47" s="127">
        <v>12.46</v>
      </c>
      <c r="AC47" s="127">
        <v>4.18</v>
      </c>
      <c r="AD47" s="127">
        <v>13</v>
      </c>
      <c r="AE47" s="127">
        <v>0.37999999999999984</v>
      </c>
      <c r="AF47" s="127"/>
      <c r="AG47" s="127"/>
      <c r="AH47" s="127">
        <v>26.46</v>
      </c>
      <c r="AI47" s="127">
        <v>81.72</v>
      </c>
      <c r="AJ47" s="127">
        <v>11.3</v>
      </c>
      <c r="AK47" s="127">
        <v>2.39</v>
      </c>
      <c r="AL47" s="127">
        <v>4.5</v>
      </c>
      <c r="AM47" s="127">
        <v>4.5599999999999996</v>
      </c>
      <c r="AN47" s="127">
        <v>5</v>
      </c>
      <c r="AO47" s="127">
        <v>1.3499999999999999</v>
      </c>
      <c r="AP47" s="127">
        <v>92.5</v>
      </c>
      <c r="AQ47" s="127">
        <v>172.35</v>
      </c>
      <c r="AR47" s="127">
        <v>18.75</v>
      </c>
      <c r="AS47" s="127">
        <v>5.63</v>
      </c>
      <c r="AT47" s="127">
        <v>12.5</v>
      </c>
      <c r="AU47" s="127">
        <v>8.4499999999999993</v>
      </c>
      <c r="AV47" s="127">
        <v>23.75</v>
      </c>
      <c r="AW47" s="127">
        <v>8.4499999999999993</v>
      </c>
      <c r="AX47" s="127"/>
      <c r="AY47" s="127"/>
      <c r="AZ47" s="127">
        <f t="shared" si="2"/>
        <v>277.47000000000003</v>
      </c>
      <c r="BA47" s="127">
        <f t="shared" si="3"/>
        <v>372.53999999999996</v>
      </c>
      <c r="BB47" s="127">
        <f t="shared" si="82"/>
        <v>46.260000000000005</v>
      </c>
      <c r="BC47" s="127">
        <f t="shared" si="82"/>
        <v>12.2</v>
      </c>
      <c r="BD47" s="127">
        <f t="shared" si="82"/>
        <v>37.5</v>
      </c>
      <c r="BE47" s="127">
        <f t="shared" si="82"/>
        <v>17.889999999999997</v>
      </c>
      <c r="BF47" s="127">
        <f t="shared" si="83"/>
        <v>71.25</v>
      </c>
      <c r="BG47" s="127">
        <f t="shared" si="83"/>
        <v>17.299999999999997</v>
      </c>
      <c r="BH47" s="2"/>
      <c r="BI47" s="2"/>
      <c r="BJ47" s="2"/>
      <c r="BK47" s="2"/>
    </row>
    <row r="48" spans="1:63" ht="20.100000000000001" customHeight="1" x14ac:dyDescent="0.35">
      <c r="A48" s="15">
        <v>33</v>
      </c>
      <c r="B48" s="16" t="s">
        <v>35</v>
      </c>
      <c r="C48" s="17">
        <v>311.61</v>
      </c>
      <c r="D48" s="26">
        <v>79</v>
      </c>
      <c r="E48" s="19" t="e">
        <f>C48+D48+#REF!+#REF!</f>
        <v>#REF!</v>
      </c>
      <c r="F48" s="64">
        <v>41.9</v>
      </c>
      <c r="G48" s="64">
        <v>20</v>
      </c>
      <c r="H48" s="19"/>
      <c r="I48" s="26">
        <v>28.79</v>
      </c>
      <c r="J48" s="26">
        <v>0</v>
      </c>
      <c r="K48" s="19"/>
      <c r="L48" s="65">
        <v>34.700000000000003</v>
      </c>
      <c r="M48" s="65">
        <v>1.5</v>
      </c>
      <c r="N48" s="19">
        <f t="shared" si="5"/>
        <v>36.200000000000003</v>
      </c>
      <c r="O48" s="19">
        <f t="shared" si="275"/>
        <v>417</v>
      </c>
      <c r="P48" s="20">
        <f t="shared" si="275"/>
        <v>100.5</v>
      </c>
      <c r="Q48" s="19">
        <f t="shared" si="1"/>
        <v>517.5</v>
      </c>
      <c r="R48" s="17">
        <v>40</v>
      </c>
      <c r="S48" s="17">
        <v>13.5</v>
      </c>
      <c r="T48" s="17">
        <v>0</v>
      </c>
      <c r="U48" s="17">
        <v>0</v>
      </c>
      <c r="V48" s="17">
        <v>6.25</v>
      </c>
      <c r="W48" s="17">
        <v>0</v>
      </c>
      <c r="X48" s="17">
        <v>7.5</v>
      </c>
      <c r="Y48" s="113">
        <v>1.5</v>
      </c>
      <c r="Z48" s="127">
        <v>93.490000000000009</v>
      </c>
      <c r="AA48" s="127">
        <v>2</v>
      </c>
      <c r="AB48" s="127">
        <v>9.64</v>
      </c>
      <c r="AC48" s="127">
        <v>4.18</v>
      </c>
      <c r="AD48" s="127">
        <v>5.5500000000000007</v>
      </c>
      <c r="AE48" s="127">
        <v>0</v>
      </c>
      <c r="AF48" s="127"/>
      <c r="AG48" s="127"/>
      <c r="AH48" s="127">
        <v>22.28</v>
      </c>
      <c r="AI48" s="127">
        <v>10.51</v>
      </c>
      <c r="AJ48" s="127">
        <v>6.31</v>
      </c>
      <c r="AK48" s="127">
        <v>2.39</v>
      </c>
      <c r="AL48" s="127">
        <v>2.59</v>
      </c>
      <c r="AM48" s="127">
        <v>0</v>
      </c>
      <c r="AN48" s="127">
        <v>9.85</v>
      </c>
      <c r="AO48" s="127">
        <v>0</v>
      </c>
      <c r="AP48" s="127">
        <v>77.900000000000006</v>
      </c>
      <c r="AQ48" s="127">
        <v>22.18</v>
      </c>
      <c r="AR48" s="127">
        <v>10.48</v>
      </c>
      <c r="AS48" s="127">
        <v>5.63</v>
      </c>
      <c r="AT48" s="127">
        <v>7.2</v>
      </c>
      <c r="AU48" s="127">
        <v>0</v>
      </c>
      <c r="AV48" s="127">
        <v>8.68</v>
      </c>
      <c r="AW48" s="127">
        <v>0</v>
      </c>
      <c r="AX48" s="127"/>
      <c r="AY48" s="127"/>
      <c r="AZ48" s="127">
        <f t="shared" si="2"/>
        <v>233.67000000000002</v>
      </c>
      <c r="BA48" s="127">
        <f t="shared" si="3"/>
        <v>48.19</v>
      </c>
      <c r="BB48" s="127">
        <f t="shared" si="82"/>
        <v>26.43</v>
      </c>
      <c r="BC48" s="127">
        <f t="shared" si="82"/>
        <v>12.2</v>
      </c>
      <c r="BD48" s="127">
        <f t="shared" si="82"/>
        <v>21.59</v>
      </c>
      <c r="BE48" s="127">
        <f t="shared" si="82"/>
        <v>0</v>
      </c>
      <c r="BF48" s="127">
        <f t="shared" si="83"/>
        <v>26.03</v>
      </c>
      <c r="BG48" s="127">
        <f t="shared" si="83"/>
        <v>1.5</v>
      </c>
      <c r="BH48" s="2"/>
      <c r="BI48" s="2"/>
      <c r="BJ48" s="2"/>
      <c r="BK48" s="2"/>
    </row>
    <row r="49" spans="1:68" ht="20.100000000000001" customHeight="1" x14ac:dyDescent="0.35">
      <c r="A49" s="15">
        <v>34</v>
      </c>
      <c r="B49" s="106" t="s">
        <v>261</v>
      </c>
      <c r="C49" s="17">
        <v>425</v>
      </c>
      <c r="D49" s="26">
        <v>0</v>
      </c>
      <c r="E49" s="19"/>
      <c r="F49" s="64">
        <v>21</v>
      </c>
      <c r="G49" s="64">
        <v>20</v>
      </c>
      <c r="H49" s="19"/>
      <c r="I49" s="26">
        <v>102</v>
      </c>
      <c r="J49" s="26">
        <v>0</v>
      </c>
      <c r="K49" s="19"/>
      <c r="L49" s="65">
        <v>0</v>
      </c>
      <c r="M49" s="65">
        <v>0</v>
      </c>
      <c r="N49" s="19">
        <f t="shared" si="5"/>
        <v>0</v>
      </c>
      <c r="O49" s="19">
        <f t="shared" si="275"/>
        <v>548</v>
      </c>
      <c r="P49" s="20">
        <f t="shared" si="275"/>
        <v>20</v>
      </c>
      <c r="Q49" s="19">
        <f t="shared" si="1"/>
        <v>568</v>
      </c>
      <c r="R49" s="103">
        <v>77.5</v>
      </c>
      <c r="S49" s="17">
        <v>0</v>
      </c>
      <c r="T49" s="17">
        <v>0</v>
      </c>
      <c r="U49" s="17">
        <v>0</v>
      </c>
      <c r="V49" s="17">
        <v>9</v>
      </c>
      <c r="W49" s="17">
        <v>0</v>
      </c>
      <c r="X49" s="17">
        <v>0</v>
      </c>
      <c r="Y49" s="113">
        <v>0</v>
      </c>
      <c r="Z49" s="127">
        <v>104.57</v>
      </c>
      <c r="AA49" s="127">
        <v>0</v>
      </c>
      <c r="AB49" s="127">
        <v>2.21</v>
      </c>
      <c r="AC49" s="127">
        <v>4.0999999999999996</v>
      </c>
      <c r="AD49" s="127">
        <v>32.82</v>
      </c>
      <c r="AE49" s="127">
        <v>0</v>
      </c>
      <c r="AF49" s="127"/>
      <c r="AG49" s="127"/>
      <c r="AH49" s="127">
        <v>30.39</v>
      </c>
      <c r="AI49" s="127">
        <v>0</v>
      </c>
      <c r="AJ49" s="127">
        <v>3.16</v>
      </c>
      <c r="AK49" s="127">
        <v>2.39</v>
      </c>
      <c r="AL49" s="127">
        <v>9.18</v>
      </c>
      <c r="AM49" s="127">
        <v>0</v>
      </c>
      <c r="AN49" s="127">
        <v>0</v>
      </c>
      <c r="AO49" s="127">
        <v>0</v>
      </c>
      <c r="AP49" s="127">
        <v>106.22</v>
      </c>
      <c r="AQ49" s="127">
        <v>0</v>
      </c>
      <c r="AR49" s="127">
        <v>5.21</v>
      </c>
      <c r="AS49" s="127">
        <v>5.63</v>
      </c>
      <c r="AT49" s="127">
        <v>25.49</v>
      </c>
      <c r="AU49" s="127">
        <v>0</v>
      </c>
      <c r="AV49" s="127">
        <v>0</v>
      </c>
      <c r="AW49" s="127">
        <v>0</v>
      </c>
      <c r="AX49" s="127"/>
      <c r="AY49" s="127"/>
      <c r="AZ49" s="127">
        <f t="shared" si="2"/>
        <v>318.68</v>
      </c>
      <c r="BA49" s="127">
        <f t="shared" si="3"/>
        <v>0</v>
      </c>
      <c r="BB49" s="127">
        <f t="shared" si="82"/>
        <v>10.580000000000002</v>
      </c>
      <c r="BC49" s="127">
        <f t="shared" si="82"/>
        <v>12.12</v>
      </c>
      <c r="BD49" s="127">
        <f t="shared" si="82"/>
        <v>76.490000000000009</v>
      </c>
      <c r="BE49" s="127">
        <f t="shared" si="82"/>
        <v>0</v>
      </c>
      <c r="BF49" s="127">
        <f t="shared" si="83"/>
        <v>0</v>
      </c>
      <c r="BG49" s="127">
        <f t="shared" si="83"/>
        <v>0</v>
      </c>
      <c r="BH49" s="2"/>
      <c r="BI49" s="2"/>
      <c r="BJ49" s="2"/>
      <c r="BK49" s="2"/>
    </row>
    <row r="50" spans="1:68" ht="20.100000000000001" customHeight="1" x14ac:dyDescent="0.35">
      <c r="A50" s="15">
        <v>35</v>
      </c>
      <c r="B50" s="106" t="s">
        <v>262</v>
      </c>
      <c r="C50" s="17">
        <v>208</v>
      </c>
      <c r="D50" s="26">
        <v>71</v>
      </c>
      <c r="E50" s="19"/>
      <c r="F50" s="64">
        <v>0</v>
      </c>
      <c r="G50" s="64">
        <v>0</v>
      </c>
      <c r="H50" s="19"/>
      <c r="I50" s="26">
        <v>0</v>
      </c>
      <c r="J50" s="26">
        <v>0</v>
      </c>
      <c r="K50" s="19"/>
      <c r="L50" s="65">
        <v>0</v>
      </c>
      <c r="M50" s="65">
        <v>0</v>
      </c>
      <c r="N50" s="19">
        <f t="shared" si="5"/>
        <v>0</v>
      </c>
      <c r="O50" s="19">
        <f t="shared" si="275"/>
        <v>208</v>
      </c>
      <c r="P50" s="20">
        <f t="shared" si="275"/>
        <v>71</v>
      </c>
      <c r="Q50" s="19">
        <f t="shared" si="1"/>
        <v>279</v>
      </c>
      <c r="R50" s="103"/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13">
        <v>0</v>
      </c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>
        <f t="shared" si="2"/>
        <v>0</v>
      </c>
      <c r="BA50" s="127">
        <f t="shared" si="3"/>
        <v>0</v>
      </c>
      <c r="BB50" s="127">
        <f t="shared" si="82"/>
        <v>0</v>
      </c>
      <c r="BC50" s="127">
        <f t="shared" si="82"/>
        <v>0</v>
      </c>
      <c r="BD50" s="127">
        <f t="shared" si="82"/>
        <v>0</v>
      </c>
      <c r="BE50" s="127">
        <f t="shared" si="82"/>
        <v>0</v>
      </c>
      <c r="BF50" s="127">
        <f t="shared" si="83"/>
        <v>0</v>
      </c>
      <c r="BG50" s="127">
        <f t="shared" si="83"/>
        <v>0</v>
      </c>
      <c r="BH50" s="2"/>
      <c r="BI50" s="2"/>
      <c r="BJ50" s="2"/>
      <c r="BK50" s="2"/>
    </row>
    <row r="51" spans="1:68" s="6" customFormat="1" ht="20.100000000000001" customHeight="1" x14ac:dyDescent="0.3">
      <c r="A51" s="76"/>
      <c r="B51" s="77" t="s">
        <v>35</v>
      </c>
      <c r="C51" s="78">
        <f t="shared" ref="C51" si="276">+C50+C49+C48</f>
        <v>944.61</v>
      </c>
      <c r="D51" s="78">
        <f t="shared" ref="D51" si="277">+D50+D49+D48</f>
        <v>150</v>
      </c>
      <c r="E51" s="78" t="e">
        <f t="shared" ref="E51" si="278">+E50+E49+E48</f>
        <v>#REF!</v>
      </c>
      <c r="F51" s="78">
        <f t="shared" ref="F51" si="279">+F50+F49+F48</f>
        <v>62.9</v>
      </c>
      <c r="G51" s="78">
        <f t="shared" ref="G51" si="280">+G50+G49+G48</f>
        <v>40</v>
      </c>
      <c r="H51" s="78">
        <f t="shared" ref="H51" si="281">+H50+H49+H48</f>
        <v>0</v>
      </c>
      <c r="I51" s="78">
        <f t="shared" ref="I51" si="282">+I50+I49+I48</f>
        <v>130.79</v>
      </c>
      <c r="J51" s="78">
        <f t="shared" ref="J51" si="283">+J50+J49+J48</f>
        <v>0</v>
      </c>
      <c r="K51" s="78">
        <f t="shared" ref="K51" si="284">+K50+K49+K48</f>
        <v>0</v>
      </c>
      <c r="L51" s="78">
        <f t="shared" ref="L51" si="285">+L50+L49+L48</f>
        <v>34.700000000000003</v>
      </c>
      <c r="M51" s="78">
        <f t="shared" ref="M51" si="286">+M50+M49+M48</f>
        <v>1.5</v>
      </c>
      <c r="N51" s="78">
        <f t="shared" ref="N51" si="287">+N50+N49+N48</f>
        <v>36.200000000000003</v>
      </c>
      <c r="O51" s="78">
        <f t="shared" ref="O51" si="288">+O50+O49+O48</f>
        <v>1173</v>
      </c>
      <c r="P51" s="78">
        <f t="shared" ref="P51" si="289">+P50+P49+P48</f>
        <v>191.5</v>
      </c>
      <c r="Q51" s="78">
        <f t="shared" ref="Q51" si="290">+Q50+Q49+Q48</f>
        <v>1364.5</v>
      </c>
      <c r="R51" s="78">
        <f t="shared" ref="R51" si="291">+R50+R49+R48</f>
        <v>117.5</v>
      </c>
      <c r="S51" s="78">
        <f t="shared" ref="S51" si="292">+S50+S49+S48</f>
        <v>13.5</v>
      </c>
      <c r="T51" s="78">
        <f t="shared" ref="T51" si="293">+T50+T49+T48</f>
        <v>0</v>
      </c>
      <c r="U51" s="78">
        <f t="shared" ref="U51" si="294">+U50+U49+U48</f>
        <v>0</v>
      </c>
      <c r="V51" s="78">
        <f t="shared" ref="V51" si="295">+V50+V49+V48</f>
        <v>15.25</v>
      </c>
      <c r="W51" s="78">
        <f t="shared" ref="W51" si="296">+W50+W49+W48</f>
        <v>0</v>
      </c>
      <c r="X51" s="78">
        <f t="shared" ref="X51" si="297">+X50+X49+X48</f>
        <v>7.5</v>
      </c>
      <c r="Y51" s="114">
        <f t="shared" ref="Y51" si="298">+Y50+Y49+Y48</f>
        <v>1.5</v>
      </c>
      <c r="Z51" s="78">
        <f t="shared" ref="Z51" si="299">+Z50+Z49+Z48</f>
        <v>198.06</v>
      </c>
      <c r="AA51" s="78">
        <f t="shared" ref="AA51" si="300">+AA50+AA49+AA48</f>
        <v>2</v>
      </c>
      <c r="AB51" s="78">
        <f t="shared" ref="AB51" si="301">+AB50+AB49+AB48</f>
        <v>11.850000000000001</v>
      </c>
      <c r="AC51" s="78">
        <f t="shared" ref="AC51" si="302">+AC50+AC49+AC48</f>
        <v>8.2799999999999994</v>
      </c>
      <c r="AD51" s="78">
        <f t="shared" ref="AD51" si="303">+AD50+AD49+AD48</f>
        <v>38.370000000000005</v>
      </c>
      <c r="AE51" s="78">
        <f t="shared" ref="AE51" si="304">+AE50+AE49+AE48</f>
        <v>0</v>
      </c>
      <c r="AF51" s="78">
        <f t="shared" ref="AF51" si="305">+AF50+AF49+AF48</f>
        <v>0</v>
      </c>
      <c r="AG51" s="78">
        <f t="shared" ref="AG51" si="306">+AG50+AG49+AG48</f>
        <v>0</v>
      </c>
      <c r="AH51" s="78">
        <f t="shared" ref="AH51" si="307">+AH50+AH49+AH48</f>
        <v>52.67</v>
      </c>
      <c r="AI51" s="78">
        <f t="shared" ref="AI51" si="308">+AI50+AI49+AI48</f>
        <v>10.51</v>
      </c>
      <c r="AJ51" s="78">
        <f t="shared" ref="AJ51" si="309">+AJ50+AJ49+AJ48</f>
        <v>9.4699999999999989</v>
      </c>
      <c r="AK51" s="78">
        <f t="shared" ref="AK51" si="310">+AK50+AK49+AK48</f>
        <v>4.78</v>
      </c>
      <c r="AL51" s="78">
        <f t="shared" ref="AL51" si="311">+AL50+AL49+AL48</f>
        <v>11.77</v>
      </c>
      <c r="AM51" s="78">
        <f t="shared" ref="AM51" si="312">+AM50+AM49+AM48</f>
        <v>0</v>
      </c>
      <c r="AN51" s="78">
        <f t="shared" ref="AN51" si="313">+AN50+AN49+AN48</f>
        <v>9.85</v>
      </c>
      <c r="AO51" s="78">
        <f t="shared" ref="AO51" si="314">+AO50+AO49+AO48</f>
        <v>0</v>
      </c>
      <c r="AP51" s="78">
        <f t="shared" ref="AP51" si="315">+AP50+AP49+AP48</f>
        <v>184.12</v>
      </c>
      <c r="AQ51" s="78">
        <f t="shared" ref="AQ51" si="316">+AQ50+AQ49+AQ48</f>
        <v>22.18</v>
      </c>
      <c r="AR51" s="78">
        <f t="shared" ref="AR51" si="317">+AR50+AR49+AR48</f>
        <v>15.690000000000001</v>
      </c>
      <c r="AS51" s="78">
        <f t="shared" ref="AS51" si="318">+AS50+AS49+AS48</f>
        <v>11.26</v>
      </c>
      <c r="AT51" s="78">
        <f t="shared" ref="AT51" si="319">+AT50+AT49+AT48</f>
        <v>32.69</v>
      </c>
      <c r="AU51" s="78">
        <f t="shared" ref="AU51" si="320">+AU50+AU49+AU48</f>
        <v>0</v>
      </c>
      <c r="AV51" s="78">
        <f t="shared" ref="AV51" si="321">+AV50+AV49+AV48</f>
        <v>8.68</v>
      </c>
      <c r="AW51" s="78">
        <f t="shared" ref="AW51:BG51" si="322">+AW50+AW49+AW48</f>
        <v>0</v>
      </c>
      <c r="AX51" s="78">
        <f t="shared" si="322"/>
        <v>0</v>
      </c>
      <c r="AY51" s="78">
        <f t="shared" si="322"/>
        <v>0</v>
      </c>
      <c r="AZ51" s="78">
        <f t="shared" si="322"/>
        <v>552.35</v>
      </c>
      <c r="BA51" s="78">
        <f t="shared" si="322"/>
        <v>48.19</v>
      </c>
      <c r="BB51" s="78">
        <f t="shared" si="322"/>
        <v>37.010000000000005</v>
      </c>
      <c r="BC51" s="78">
        <f t="shared" si="322"/>
        <v>24.32</v>
      </c>
      <c r="BD51" s="78">
        <f t="shared" si="322"/>
        <v>98.080000000000013</v>
      </c>
      <c r="BE51" s="78">
        <f t="shared" si="322"/>
        <v>0</v>
      </c>
      <c r="BF51" s="78">
        <f t="shared" si="322"/>
        <v>26.03</v>
      </c>
      <c r="BG51" s="78">
        <f t="shared" si="322"/>
        <v>1.5</v>
      </c>
      <c r="BH51" s="78"/>
      <c r="BI51" s="78"/>
      <c r="BJ51" s="78"/>
      <c r="BK51" s="78"/>
    </row>
    <row r="52" spans="1:68" ht="20.100000000000001" customHeight="1" x14ac:dyDescent="0.35">
      <c r="A52" s="15">
        <v>36</v>
      </c>
      <c r="B52" s="16" t="s">
        <v>36</v>
      </c>
      <c r="C52" s="17">
        <v>554</v>
      </c>
      <c r="D52" s="26">
        <v>301</v>
      </c>
      <c r="E52" s="19"/>
      <c r="F52" s="64">
        <v>0</v>
      </c>
      <c r="G52" s="64">
        <v>20</v>
      </c>
      <c r="H52" s="19"/>
      <c r="I52" s="26">
        <v>30</v>
      </c>
      <c r="J52" s="26">
        <v>0</v>
      </c>
      <c r="K52" s="19"/>
      <c r="L52" s="65">
        <v>62</v>
      </c>
      <c r="M52" s="65">
        <v>20</v>
      </c>
      <c r="N52" s="19">
        <f t="shared" si="5"/>
        <v>82</v>
      </c>
      <c r="O52" s="19">
        <f>C52+F52+I52+L52</f>
        <v>646</v>
      </c>
      <c r="P52" s="20">
        <f>D52+G52+J52+M52</f>
        <v>341</v>
      </c>
      <c r="Q52" s="19">
        <f t="shared" si="1"/>
        <v>987</v>
      </c>
      <c r="R52" s="17">
        <v>108.75</v>
      </c>
      <c r="S52" s="17">
        <v>42</v>
      </c>
      <c r="T52" s="17">
        <v>0</v>
      </c>
      <c r="U52" s="17">
        <v>0</v>
      </c>
      <c r="V52" s="17">
        <v>2.5</v>
      </c>
      <c r="W52" s="17">
        <v>0</v>
      </c>
      <c r="X52" s="17">
        <v>21.25</v>
      </c>
      <c r="Y52" s="113">
        <v>3.75</v>
      </c>
      <c r="Z52" s="127">
        <v>128.58000000000001</v>
      </c>
      <c r="AA52" s="127">
        <v>17.060000000000002</v>
      </c>
      <c r="AB52" s="127">
        <v>0</v>
      </c>
      <c r="AC52" s="127">
        <v>4.18</v>
      </c>
      <c r="AD52" s="127">
        <v>9.8000000000000007</v>
      </c>
      <c r="AE52" s="127">
        <v>0</v>
      </c>
      <c r="AF52" s="127"/>
      <c r="AG52" s="127"/>
      <c r="AH52" s="127">
        <v>39.61</v>
      </c>
      <c r="AI52" s="127">
        <v>40.06</v>
      </c>
      <c r="AJ52" s="127">
        <v>0</v>
      </c>
      <c r="AK52" s="127">
        <v>2.39</v>
      </c>
      <c r="AL52" s="127">
        <v>2.7</v>
      </c>
      <c r="AM52" s="127">
        <v>0</v>
      </c>
      <c r="AN52" s="127">
        <v>9.75</v>
      </c>
      <c r="AO52" s="127">
        <v>2.82</v>
      </c>
      <c r="AP52" s="127">
        <v>138.5</v>
      </c>
      <c r="AQ52" s="127">
        <v>84.49</v>
      </c>
      <c r="AR52" s="127">
        <v>0</v>
      </c>
      <c r="AS52" s="127">
        <v>5.63</v>
      </c>
      <c r="AT52" s="127">
        <v>7.5</v>
      </c>
      <c r="AU52" s="127">
        <v>0</v>
      </c>
      <c r="AV52" s="127">
        <v>15.5</v>
      </c>
      <c r="AW52" s="127">
        <v>5.63</v>
      </c>
      <c r="AX52" s="127"/>
      <c r="AY52" s="127"/>
      <c r="AZ52" s="127">
        <f t="shared" si="2"/>
        <v>415.44000000000005</v>
      </c>
      <c r="BA52" s="127">
        <f t="shared" si="3"/>
        <v>183.61</v>
      </c>
      <c r="BB52" s="127">
        <f t="shared" si="82"/>
        <v>0</v>
      </c>
      <c r="BC52" s="127">
        <f t="shared" si="82"/>
        <v>12.2</v>
      </c>
      <c r="BD52" s="127">
        <f t="shared" si="82"/>
        <v>22.5</v>
      </c>
      <c r="BE52" s="127">
        <f t="shared" si="82"/>
        <v>0</v>
      </c>
      <c r="BF52" s="127">
        <f t="shared" si="83"/>
        <v>46.5</v>
      </c>
      <c r="BG52" s="127">
        <f t="shared" si="83"/>
        <v>12.2</v>
      </c>
      <c r="BH52" s="2"/>
      <c r="BI52" s="2"/>
      <c r="BJ52" s="2"/>
      <c r="BK52" s="2"/>
    </row>
    <row r="53" spans="1:68" ht="20.100000000000001" customHeight="1" x14ac:dyDescent="0.35">
      <c r="A53" s="15">
        <v>37</v>
      </c>
      <c r="B53" s="16" t="s">
        <v>37</v>
      </c>
      <c r="C53" s="17">
        <v>204</v>
      </c>
      <c r="D53" s="26">
        <v>25</v>
      </c>
      <c r="E53" s="19"/>
      <c r="F53" s="64">
        <v>0</v>
      </c>
      <c r="G53" s="64">
        <v>0</v>
      </c>
      <c r="H53" s="19"/>
      <c r="I53" s="26">
        <v>50</v>
      </c>
      <c r="J53" s="26">
        <v>0</v>
      </c>
      <c r="K53" s="19"/>
      <c r="L53" s="65">
        <v>0</v>
      </c>
      <c r="M53" s="65">
        <v>0</v>
      </c>
      <c r="N53" s="19">
        <f t="shared" si="5"/>
        <v>0</v>
      </c>
      <c r="O53" s="19">
        <f>C53+F53+I53+L53</f>
        <v>254</v>
      </c>
      <c r="P53" s="20">
        <f>D53+G53+J53+M53</f>
        <v>25</v>
      </c>
      <c r="Q53" s="19">
        <f t="shared" si="1"/>
        <v>279</v>
      </c>
      <c r="R53" s="17">
        <v>51.75</v>
      </c>
      <c r="S53" s="17">
        <v>3.75</v>
      </c>
      <c r="T53" s="17">
        <v>0</v>
      </c>
      <c r="U53" s="17">
        <v>0</v>
      </c>
      <c r="V53" s="17">
        <v>12.5</v>
      </c>
      <c r="W53" s="17">
        <v>0</v>
      </c>
      <c r="X53" s="17">
        <v>0</v>
      </c>
      <c r="Y53" s="113">
        <v>0</v>
      </c>
      <c r="Z53" s="127">
        <v>35.64</v>
      </c>
      <c r="AA53" s="127">
        <v>1.1600000000000001</v>
      </c>
      <c r="AB53" s="127">
        <v>0</v>
      </c>
      <c r="AC53" s="127">
        <v>0</v>
      </c>
      <c r="AD53" s="127">
        <v>8</v>
      </c>
      <c r="AE53" s="127">
        <v>0</v>
      </c>
      <c r="AF53" s="127"/>
      <c r="AG53" s="127"/>
      <c r="AH53" s="127">
        <v>14.59</v>
      </c>
      <c r="AI53" s="127">
        <v>3.33</v>
      </c>
      <c r="AJ53" s="127">
        <v>0</v>
      </c>
      <c r="AK53" s="127">
        <v>0</v>
      </c>
      <c r="AL53" s="127">
        <v>4.5</v>
      </c>
      <c r="AM53" s="127">
        <v>0</v>
      </c>
      <c r="AN53" s="127">
        <v>0</v>
      </c>
      <c r="AO53" s="127">
        <v>0</v>
      </c>
      <c r="AP53" s="127">
        <v>51</v>
      </c>
      <c r="AQ53" s="127">
        <v>7.02</v>
      </c>
      <c r="AR53" s="127">
        <v>0</v>
      </c>
      <c r="AS53" s="127">
        <v>0</v>
      </c>
      <c r="AT53" s="127">
        <v>12.5</v>
      </c>
      <c r="AU53" s="127">
        <v>0</v>
      </c>
      <c r="AV53" s="127">
        <v>0</v>
      </c>
      <c r="AW53" s="127">
        <v>0</v>
      </c>
      <c r="AX53" s="127"/>
      <c r="AY53" s="127"/>
      <c r="AZ53" s="127">
        <f t="shared" si="2"/>
        <v>152.98000000000002</v>
      </c>
      <c r="BA53" s="127">
        <f t="shared" si="3"/>
        <v>15.26</v>
      </c>
      <c r="BB53" s="127">
        <f t="shared" si="82"/>
        <v>0</v>
      </c>
      <c r="BC53" s="127">
        <f t="shared" si="82"/>
        <v>0</v>
      </c>
      <c r="BD53" s="127">
        <f t="shared" si="82"/>
        <v>37.5</v>
      </c>
      <c r="BE53" s="127">
        <f t="shared" si="82"/>
        <v>0</v>
      </c>
      <c r="BF53" s="127">
        <f t="shared" si="83"/>
        <v>0</v>
      </c>
      <c r="BG53" s="127">
        <f t="shared" si="83"/>
        <v>0</v>
      </c>
      <c r="BH53" s="2"/>
      <c r="BI53" s="2"/>
      <c r="BJ53" s="2"/>
      <c r="BK53" s="2"/>
    </row>
    <row r="54" spans="1:68" s="6" customFormat="1" ht="20.100000000000001" customHeight="1" x14ac:dyDescent="0.3">
      <c r="A54" s="76"/>
      <c r="B54" s="77" t="s">
        <v>36</v>
      </c>
      <c r="C54" s="78">
        <f>+C52+C53</f>
        <v>758</v>
      </c>
      <c r="D54" s="78">
        <f t="shared" ref="D54:T54" si="323">+D52+D53</f>
        <v>326</v>
      </c>
      <c r="E54" s="78">
        <f t="shared" si="323"/>
        <v>0</v>
      </c>
      <c r="F54" s="78">
        <f t="shared" si="323"/>
        <v>0</v>
      </c>
      <c r="G54" s="78">
        <f t="shared" si="323"/>
        <v>20</v>
      </c>
      <c r="H54" s="78">
        <f t="shared" si="323"/>
        <v>0</v>
      </c>
      <c r="I54" s="78">
        <f t="shared" si="323"/>
        <v>80</v>
      </c>
      <c r="J54" s="78">
        <f t="shared" si="323"/>
        <v>0</v>
      </c>
      <c r="K54" s="78">
        <f t="shared" si="323"/>
        <v>0</v>
      </c>
      <c r="L54" s="78">
        <f t="shared" si="323"/>
        <v>62</v>
      </c>
      <c r="M54" s="78">
        <f t="shared" si="323"/>
        <v>20</v>
      </c>
      <c r="N54" s="78">
        <f t="shared" si="323"/>
        <v>82</v>
      </c>
      <c r="O54" s="78">
        <f t="shared" si="323"/>
        <v>900</v>
      </c>
      <c r="P54" s="78">
        <f t="shared" si="323"/>
        <v>366</v>
      </c>
      <c r="Q54" s="78">
        <f t="shared" si="323"/>
        <v>1266</v>
      </c>
      <c r="R54" s="78">
        <f t="shared" si="323"/>
        <v>160.5</v>
      </c>
      <c r="S54" s="78">
        <f t="shared" si="323"/>
        <v>45.75</v>
      </c>
      <c r="T54" s="78">
        <f t="shared" si="323"/>
        <v>0</v>
      </c>
      <c r="U54" s="78">
        <f t="shared" ref="U54" si="324">+U52+U53</f>
        <v>0</v>
      </c>
      <c r="V54" s="78">
        <f t="shared" ref="V54" si="325">+V52+V53</f>
        <v>15</v>
      </c>
      <c r="W54" s="78">
        <f t="shared" ref="W54" si="326">+W52+W53</f>
        <v>0</v>
      </c>
      <c r="X54" s="78">
        <f t="shared" ref="X54" si="327">+X52+X53</f>
        <v>21.25</v>
      </c>
      <c r="Y54" s="114">
        <f t="shared" ref="Y54" si="328">+Y52+Y53</f>
        <v>3.75</v>
      </c>
      <c r="Z54" s="78">
        <f t="shared" ref="Z54" si="329">+Z52+Z53</f>
        <v>164.22000000000003</v>
      </c>
      <c r="AA54" s="78">
        <f t="shared" ref="AA54" si="330">+AA52+AA53</f>
        <v>18.220000000000002</v>
      </c>
      <c r="AB54" s="78">
        <f t="shared" ref="AB54" si="331">+AB52+AB53</f>
        <v>0</v>
      </c>
      <c r="AC54" s="78">
        <f t="shared" ref="AC54" si="332">+AC52+AC53</f>
        <v>4.18</v>
      </c>
      <c r="AD54" s="78">
        <f t="shared" ref="AD54" si="333">+AD52+AD53</f>
        <v>17.8</v>
      </c>
      <c r="AE54" s="78">
        <f t="shared" ref="AE54" si="334">+AE52+AE53</f>
        <v>0</v>
      </c>
      <c r="AF54" s="78">
        <f t="shared" ref="AF54" si="335">+AF52+AF53</f>
        <v>0</v>
      </c>
      <c r="AG54" s="78">
        <f t="shared" ref="AG54" si="336">+AG52+AG53</f>
        <v>0</v>
      </c>
      <c r="AH54" s="78">
        <f t="shared" ref="AH54" si="337">+AH52+AH53</f>
        <v>54.2</v>
      </c>
      <c r="AI54" s="78">
        <f t="shared" ref="AI54" si="338">+AI52+AI53</f>
        <v>43.39</v>
      </c>
      <c r="AJ54" s="78">
        <f t="shared" ref="AJ54" si="339">+AJ52+AJ53</f>
        <v>0</v>
      </c>
      <c r="AK54" s="78">
        <f t="shared" ref="AK54" si="340">+AK52+AK53</f>
        <v>2.39</v>
      </c>
      <c r="AL54" s="78">
        <f t="shared" ref="AL54" si="341">+AL52+AL53</f>
        <v>7.2</v>
      </c>
      <c r="AM54" s="78">
        <f t="shared" ref="AM54" si="342">+AM52+AM53</f>
        <v>0</v>
      </c>
      <c r="AN54" s="78">
        <f t="shared" ref="AN54" si="343">+AN52+AN53</f>
        <v>9.75</v>
      </c>
      <c r="AO54" s="78">
        <f t="shared" ref="AO54" si="344">+AO52+AO53</f>
        <v>2.82</v>
      </c>
      <c r="AP54" s="78">
        <f t="shared" ref="AP54" si="345">+AP52+AP53</f>
        <v>189.5</v>
      </c>
      <c r="AQ54" s="78">
        <f t="shared" ref="AQ54" si="346">+AQ52+AQ53</f>
        <v>91.509999999999991</v>
      </c>
      <c r="AR54" s="78">
        <f t="shared" ref="AR54" si="347">+AR52+AR53</f>
        <v>0</v>
      </c>
      <c r="AS54" s="78">
        <f t="shared" ref="AS54" si="348">+AS52+AS53</f>
        <v>5.63</v>
      </c>
      <c r="AT54" s="78">
        <f t="shared" ref="AT54" si="349">+AT52+AT53</f>
        <v>20</v>
      </c>
      <c r="AU54" s="78">
        <f t="shared" ref="AU54" si="350">+AU52+AU53</f>
        <v>0</v>
      </c>
      <c r="AV54" s="78">
        <f t="shared" ref="AV54" si="351">+AV52+AV53</f>
        <v>15.5</v>
      </c>
      <c r="AW54" s="78">
        <f t="shared" ref="AW54:BG54" si="352">+AW52+AW53</f>
        <v>5.63</v>
      </c>
      <c r="AX54" s="78">
        <f t="shared" si="352"/>
        <v>0</v>
      </c>
      <c r="AY54" s="78">
        <f t="shared" si="352"/>
        <v>0</v>
      </c>
      <c r="AZ54" s="78">
        <f t="shared" si="352"/>
        <v>568.42000000000007</v>
      </c>
      <c r="BA54" s="78">
        <f t="shared" si="352"/>
        <v>198.87</v>
      </c>
      <c r="BB54" s="78">
        <f t="shared" si="352"/>
        <v>0</v>
      </c>
      <c r="BC54" s="78">
        <f t="shared" si="352"/>
        <v>12.2</v>
      </c>
      <c r="BD54" s="78">
        <f t="shared" si="352"/>
        <v>60</v>
      </c>
      <c r="BE54" s="78">
        <f t="shared" si="352"/>
        <v>0</v>
      </c>
      <c r="BF54" s="78">
        <f t="shared" si="352"/>
        <v>46.5</v>
      </c>
      <c r="BG54" s="78">
        <f t="shared" si="352"/>
        <v>12.2</v>
      </c>
      <c r="BH54" s="78"/>
      <c r="BI54" s="78"/>
      <c r="BJ54" s="78"/>
      <c r="BK54" s="78"/>
      <c r="BL54" s="78">
        <f t="shared" ref="BL54" si="353">+BL52+BL53</f>
        <v>0</v>
      </c>
    </row>
    <row r="55" spans="1:68" ht="20.100000000000001" customHeight="1" x14ac:dyDescent="0.35">
      <c r="A55" s="15">
        <v>38</v>
      </c>
      <c r="B55" s="109" t="s">
        <v>264</v>
      </c>
      <c r="C55" s="17">
        <v>831</v>
      </c>
      <c r="D55" s="26">
        <v>193</v>
      </c>
      <c r="E55" s="19"/>
      <c r="F55" s="64">
        <v>0</v>
      </c>
      <c r="G55" s="64">
        <v>20</v>
      </c>
      <c r="H55" s="19"/>
      <c r="I55" s="26">
        <v>0</v>
      </c>
      <c r="J55" s="26">
        <v>0</v>
      </c>
      <c r="K55" s="19"/>
      <c r="L55" s="65">
        <v>22.5</v>
      </c>
      <c r="M55" s="65">
        <v>0</v>
      </c>
      <c r="N55" s="19">
        <f t="shared" si="5"/>
        <v>22.5</v>
      </c>
      <c r="O55" s="19">
        <f t="shared" ref="O55:P57" si="354">C55+F55+I55+L55</f>
        <v>853.5</v>
      </c>
      <c r="P55" s="20">
        <f t="shared" si="354"/>
        <v>213</v>
      </c>
      <c r="Q55" s="19">
        <f t="shared" si="1"/>
        <v>1066.5</v>
      </c>
      <c r="R55" s="75">
        <f>164.25+33.6</f>
        <v>197.85</v>
      </c>
      <c r="S55" s="17">
        <v>37.5</v>
      </c>
      <c r="T55" s="17">
        <v>0</v>
      </c>
      <c r="U55" s="17">
        <v>0</v>
      </c>
      <c r="V55" s="17">
        <v>0</v>
      </c>
      <c r="W55" s="17">
        <v>0</v>
      </c>
      <c r="X55" s="17">
        <v>22.5</v>
      </c>
      <c r="Y55" s="113">
        <v>0</v>
      </c>
      <c r="Z55" s="127">
        <v>158.15</v>
      </c>
      <c r="AA55" s="127">
        <v>0.36999999999999744</v>
      </c>
      <c r="AB55" s="127">
        <v>0</v>
      </c>
      <c r="AC55" s="127">
        <v>4.18</v>
      </c>
      <c r="AD55" s="127">
        <v>0</v>
      </c>
      <c r="AE55" s="127">
        <v>0</v>
      </c>
      <c r="AF55" s="127"/>
      <c r="AG55" s="127"/>
      <c r="AH55" s="127">
        <v>59.42</v>
      </c>
      <c r="AI55" s="127">
        <v>25.69</v>
      </c>
      <c r="AJ55" s="127">
        <v>0</v>
      </c>
      <c r="AK55" s="127">
        <v>2.39</v>
      </c>
      <c r="AL55" s="127">
        <v>0</v>
      </c>
      <c r="AM55" s="127">
        <v>0</v>
      </c>
      <c r="AN55" s="127">
        <v>0</v>
      </c>
      <c r="AO55" s="127">
        <v>0</v>
      </c>
      <c r="AP55" s="127">
        <v>207.75</v>
      </c>
      <c r="AQ55" s="127">
        <v>54.18</v>
      </c>
      <c r="AR55" s="127">
        <v>0</v>
      </c>
      <c r="AS55" s="127">
        <v>5.63</v>
      </c>
      <c r="AT55" s="127">
        <v>0</v>
      </c>
      <c r="AU55" s="127">
        <v>0</v>
      </c>
      <c r="AV55" s="127">
        <v>0</v>
      </c>
      <c r="AW55" s="127">
        <v>0</v>
      </c>
      <c r="AX55" s="127"/>
      <c r="AY55" s="127"/>
      <c r="AZ55" s="127">
        <f t="shared" si="2"/>
        <v>623.17000000000007</v>
      </c>
      <c r="BA55" s="127">
        <f t="shared" si="3"/>
        <v>117.74000000000001</v>
      </c>
      <c r="BB55" s="127">
        <f t="shared" si="82"/>
        <v>0</v>
      </c>
      <c r="BC55" s="127">
        <f t="shared" si="82"/>
        <v>12.2</v>
      </c>
      <c r="BD55" s="127">
        <f t="shared" si="82"/>
        <v>0</v>
      </c>
      <c r="BE55" s="127">
        <f t="shared" si="82"/>
        <v>0</v>
      </c>
      <c r="BF55" s="127">
        <f t="shared" si="83"/>
        <v>22.5</v>
      </c>
      <c r="BG55" s="127">
        <f t="shared" si="83"/>
        <v>0</v>
      </c>
      <c r="BH55" s="2"/>
      <c r="BI55" s="2"/>
      <c r="BJ55" s="2"/>
      <c r="BK55" s="2"/>
    </row>
    <row r="56" spans="1:68" ht="20.100000000000001" customHeight="1" x14ac:dyDescent="0.35">
      <c r="A56" s="15">
        <v>39</v>
      </c>
      <c r="B56" s="106" t="s">
        <v>265</v>
      </c>
      <c r="C56" s="17">
        <v>155</v>
      </c>
      <c r="D56" s="26">
        <v>100</v>
      </c>
      <c r="E56" s="19"/>
      <c r="F56" s="64">
        <v>0</v>
      </c>
      <c r="G56" s="64">
        <v>0</v>
      </c>
      <c r="H56" s="19"/>
      <c r="I56" s="26">
        <v>0</v>
      </c>
      <c r="J56" s="26">
        <v>0</v>
      </c>
      <c r="K56" s="19"/>
      <c r="L56" s="65">
        <v>0</v>
      </c>
      <c r="M56" s="65">
        <v>0</v>
      </c>
      <c r="N56" s="19">
        <f t="shared" si="5"/>
        <v>0</v>
      </c>
      <c r="O56" s="19">
        <f t="shared" si="354"/>
        <v>155</v>
      </c>
      <c r="P56" s="20">
        <f t="shared" si="354"/>
        <v>100</v>
      </c>
      <c r="Q56" s="19">
        <f t="shared" si="1"/>
        <v>255</v>
      </c>
      <c r="R56" s="75">
        <f>100-33.6</f>
        <v>66.400000000000006</v>
      </c>
      <c r="S56" s="17">
        <v>4.5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13">
        <v>0</v>
      </c>
      <c r="Z56" s="127"/>
      <c r="AA56" s="127"/>
      <c r="AB56" s="127">
        <v>0</v>
      </c>
      <c r="AC56" s="127">
        <v>0</v>
      </c>
      <c r="AD56" s="127">
        <v>0</v>
      </c>
      <c r="AE56" s="127">
        <v>0</v>
      </c>
      <c r="AF56" s="127"/>
      <c r="AG56" s="127"/>
      <c r="AH56" s="127"/>
      <c r="AI56" s="127"/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27">
        <v>0</v>
      </c>
      <c r="AR56" s="127">
        <v>0</v>
      </c>
      <c r="AS56" s="127">
        <v>0</v>
      </c>
      <c r="AT56" s="127">
        <v>0</v>
      </c>
      <c r="AU56" s="127">
        <v>0</v>
      </c>
      <c r="AV56" s="127">
        <v>0</v>
      </c>
      <c r="AW56" s="127">
        <v>0</v>
      </c>
      <c r="AX56" s="127">
        <v>49.85</v>
      </c>
      <c r="AY56" s="127">
        <v>56.5</v>
      </c>
      <c r="AZ56" s="127">
        <f t="shared" si="2"/>
        <v>116.25</v>
      </c>
      <c r="BA56" s="127">
        <f>+AQ56+AI56+AA56+S56+AY56</f>
        <v>61</v>
      </c>
      <c r="BB56" s="127">
        <f t="shared" si="82"/>
        <v>0</v>
      </c>
      <c r="BC56" s="127">
        <f t="shared" si="82"/>
        <v>0</v>
      </c>
      <c r="BD56" s="127">
        <f t="shared" si="82"/>
        <v>0</v>
      </c>
      <c r="BE56" s="127">
        <f t="shared" si="82"/>
        <v>0</v>
      </c>
      <c r="BF56" s="127">
        <f t="shared" si="83"/>
        <v>0</v>
      </c>
      <c r="BG56" s="127">
        <f t="shared" si="83"/>
        <v>0</v>
      </c>
      <c r="BH56" s="2"/>
      <c r="BI56" s="2"/>
      <c r="BJ56" s="2"/>
      <c r="BK56" s="2"/>
    </row>
    <row r="57" spans="1:68" ht="20.100000000000001" customHeight="1" x14ac:dyDescent="0.35">
      <c r="A57" s="15">
        <v>40</v>
      </c>
      <c r="B57" s="106" t="s">
        <v>263</v>
      </c>
      <c r="C57" s="107">
        <v>464</v>
      </c>
      <c r="D57" s="108">
        <v>0</v>
      </c>
      <c r="E57" s="19"/>
      <c r="F57" s="64">
        <v>0</v>
      </c>
      <c r="G57" s="64">
        <v>0</v>
      </c>
      <c r="H57" s="19"/>
      <c r="I57" s="26">
        <v>0</v>
      </c>
      <c r="J57" s="26">
        <v>0</v>
      </c>
      <c r="K57" s="19"/>
      <c r="L57" s="65">
        <v>0</v>
      </c>
      <c r="M57" s="65">
        <v>0</v>
      </c>
      <c r="N57" s="19">
        <f t="shared" si="5"/>
        <v>0</v>
      </c>
      <c r="O57" s="19">
        <f t="shared" si="354"/>
        <v>464</v>
      </c>
      <c r="P57" s="20">
        <f t="shared" si="354"/>
        <v>0</v>
      </c>
      <c r="Q57" s="19">
        <f t="shared" si="1"/>
        <v>464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13">
        <v>0</v>
      </c>
      <c r="Z57" s="127"/>
      <c r="AA57" s="127"/>
      <c r="AB57" s="127">
        <v>0</v>
      </c>
      <c r="AC57" s="127">
        <v>0</v>
      </c>
      <c r="AD57" s="127">
        <v>0</v>
      </c>
      <c r="AE57" s="127">
        <v>0</v>
      </c>
      <c r="AF57" s="127"/>
      <c r="AG57" s="127"/>
      <c r="AH57" s="127"/>
      <c r="AI57" s="127"/>
      <c r="AJ57" s="127">
        <v>0</v>
      </c>
      <c r="AK57" s="127">
        <v>0</v>
      </c>
      <c r="AL57" s="127">
        <v>0</v>
      </c>
      <c r="AM57" s="127">
        <v>0</v>
      </c>
      <c r="AN57" s="127">
        <v>0</v>
      </c>
      <c r="AO57" s="127">
        <v>0</v>
      </c>
      <c r="AP57" s="127">
        <v>0</v>
      </c>
      <c r="AQ57" s="127">
        <v>0</v>
      </c>
      <c r="AR57" s="127">
        <v>0</v>
      </c>
      <c r="AS57" s="127">
        <v>0</v>
      </c>
      <c r="AT57" s="127">
        <v>0</v>
      </c>
      <c r="AU57" s="127">
        <v>0</v>
      </c>
      <c r="AV57" s="127">
        <v>0</v>
      </c>
      <c r="AW57" s="127">
        <v>0</v>
      </c>
      <c r="AX57" s="127"/>
      <c r="AY57" s="127"/>
      <c r="AZ57" s="127">
        <f t="shared" si="2"/>
        <v>0</v>
      </c>
      <c r="BA57" s="127">
        <f t="shared" ref="BA57:BA120" si="355">+AQ57+AI57+AA57+S57+AY57</f>
        <v>0</v>
      </c>
      <c r="BB57" s="127">
        <f t="shared" si="82"/>
        <v>0</v>
      </c>
      <c r="BC57" s="127">
        <f t="shared" si="82"/>
        <v>0</v>
      </c>
      <c r="BD57" s="127">
        <f t="shared" si="82"/>
        <v>0</v>
      </c>
      <c r="BE57" s="127">
        <f t="shared" si="82"/>
        <v>0</v>
      </c>
      <c r="BF57" s="127">
        <f t="shared" si="83"/>
        <v>0</v>
      </c>
      <c r="BG57" s="127">
        <f t="shared" si="83"/>
        <v>0</v>
      </c>
      <c r="BH57" s="2"/>
      <c r="BI57" s="2"/>
      <c r="BJ57" s="2"/>
      <c r="BK57" s="2"/>
    </row>
    <row r="58" spans="1:68" s="6" customFormat="1" ht="20.100000000000001" customHeight="1" x14ac:dyDescent="0.3">
      <c r="A58" s="76"/>
      <c r="B58" s="77" t="s">
        <v>38</v>
      </c>
      <c r="C58" s="78">
        <f>+C55+C56+C57</f>
        <v>1450</v>
      </c>
      <c r="D58" s="78">
        <f t="shared" ref="D58:S58" si="356">+D55+D56+D57</f>
        <v>293</v>
      </c>
      <c r="E58" s="78">
        <f t="shared" si="356"/>
        <v>0</v>
      </c>
      <c r="F58" s="78">
        <f t="shared" si="356"/>
        <v>0</v>
      </c>
      <c r="G58" s="78">
        <f t="shared" si="356"/>
        <v>20</v>
      </c>
      <c r="H58" s="78">
        <f t="shared" si="356"/>
        <v>0</v>
      </c>
      <c r="I58" s="78">
        <f t="shared" si="356"/>
        <v>0</v>
      </c>
      <c r="J58" s="78">
        <f t="shared" si="356"/>
        <v>0</v>
      </c>
      <c r="K58" s="78">
        <f t="shared" si="356"/>
        <v>0</v>
      </c>
      <c r="L58" s="78">
        <f t="shared" si="356"/>
        <v>22.5</v>
      </c>
      <c r="M58" s="78">
        <f t="shared" si="356"/>
        <v>0</v>
      </c>
      <c r="N58" s="78">
        <f t="shared" si="356"/>
        <v>22.5</v>
      </c>
      <c r="O58" s="78">
        <f t="shared" si="356"/>
        <v>1472.5</v>
      </c>
      <c r="P58" s="78">
        <f t="shared" si="356"/>
        <v>313</v>
      </c>
      <c r="Q58" s="78">
        <f t="shared" si="356"/>
        <v>1785.5</v>
      </c>
      <c r="R58" s="78">
        <f t="shared" si="356"/>
        <v>264.25</v>
      </c>
      <c r="S58" s="78">
        <f t="shared" si="356"/>
        <v>42</v>
      </c>
      <c r="T58" s="78">
        <f t="shared" ref="T58" si="357">+T55+T56+T57</f>
        <v>0</v>
      </c>
      <c r="U58" s="78">
        <f t="shared" ref="U58" si="358">+U55+U56+U57</f>
        <v>0</v>
      </c>
      <c r="V58" s="78">
        <f t="shared" ref="V58" si="359">+V55+V56+V57</f>
        <v>0</v>
      </c>
      <c r="W58" s="78">
        <f t="shared" ref="W58" si="360">+W55+W56+W57</f>
        <v>0</v>
      </c>
      <c r="X58" s="78">
        <f t="shared" ref="X58" si="361">+X55+X56+X57</f>
        <v>22.5</v>
      </c>
      <c r="Y58" s="114">
        <f t="shared" ref="Y58" si="362">+Y55+Y56+Y57</f>
        <v>0</v>
      </c>
      <c r="Z58" s="78">
        <f t="shared" ref="Z58" si="363">+Z55+Z56+Z57</f>
        <v>158.15</v>
      </c>
      <c r="AA58" s="78">
        <f t="shared" ref="AA58" si="364">+AA55+AA56+AA57</f>
        <v>0.36999999999999744</v>
      </c>
      <c r="AB58" s="78">
        <f t="shared" ref="AB58" si="365">+AB55+AB56+AB57</f>
        <v>0</v>
      </c>
      <c r="AC58" s="78">
        <f t="shared" ref="AC58" si="366">+AC55+AC56+AC57</f>
        <v>4.18</v>
      </c>
      <c r="AD58" s="78">
        <f t="shared" ref="AD58" si="367">+AD55+AD56+AD57</f>
        <v>0</v>
      </c>
      <c r="AE58" s="78">
        <f t="shared" ref="AE58" si="368">+AE55+AE56+AE57</f>
        <v>0</v>
      </c>
      <c r="AF58" s="78">
        <f t="shared" ref="AF58" si="369">+AF55+AF56+AF57</f>
        <v>0</v>
      </c>
      <c r="AG58" s="78">
        <f t="shared" ref="AG58" si="370">+AG55+AG56+AG57</f>
        <v>0</v>
      </c>
      <c r="AH58" s="78">
        <f t="shared" ref="AH58" si="371">+AH55+AH56+AH57</f>
        <v>59.42</v>
      </c>
      <c r="AI58" s="78">
        <f t="shared" ref="AI58" si="372">+AI55+AI56+AI57</f>
        <v>25.69</v>
      </c>
      <c r="AJ58" s="78">
        <f t="shared" ref="AJ58" si="373">+AJ55+AJ56+AJ57</f>
        <v>0</v>
      </c>
      <c r="AK58" s="78">
        <f t="shared" ref="AK58" si="374">+AK55+AK56+AK57</f>
        <v>2.39</v>
      </c>
      <c r="AL58" s="78">
        <f t="shared" ref="AL58" si="375">+AL55+AL56+AL57</f>
        <v>0</v>
      </c>
      <c r="AM58" s="78">
        <f t="shared" ref="AM58" si="376">+AM55+AM56+AM57</f>
        <v>0</v>
      </c>
      <c r="AN58" s="78">
        <f t="shared" ref="AN58" si="377">+AN55+AN56+AN57</f>
        <v>0</v>
      </c>
      <c r="AO58" s="78">
        <f t="shared" ref="AO58" si="378">+AO55+AO56+AO57</f>
        <v>0</v>
      </c>
      <c r="AP58" s="78">
        <f t="shared" ref="AP58" si="379">+AP55+AP56+AP57</f>
        <v>207.75</v>
      </c>
      <c r="AQ58" s="78">
        <f t="shared" ref="AQ58" si="380">+AQ55+AQ56+AQ57</f>
        <v>54.18</v>
      </c>
      <c r="AR58" s="78">
        <f t="shared" ref="AR58" si="381">+AR55+AR56+AR57</f>
        <v>0</v>
      </c>
      <c r="AS58" s="78">
        <f t="shared" ref="AS58" si="382">+AS55+AS56+AS57</f>
        <v>5.63</v>
      </c>
      <c r="AT58" s="78">
        <f t="shared" ref="AT58" si="383">+AT55+AT56+AT57</f>
        <v>0</v>
      </c>
      <c r="AU58" s="78">
        <f t="shared" ref="AU58:BG58" si="384">+AU55+AU56+AU57</f>
        <v>0</v>
      </c>
      <c r="AV58" s="78">
        <f t="shared" si="384"/>
        <v>0</v>
      </c>
      <c r="AW58" s="78">
        <f t="shared" si="384"/>
        <v>0</v>
      </c>
      <c r="AX58" s="78">
        <f t="shared" si="384"/>
        <v>49.85</v>
      </c>
      <c r="AY58" s="78">
        <f t="shared" si="384"/>
        <v>56.5</v>
      </c>
      <c r="AZ58" s="78">
        <f t="shared" si="384"/>
        <v>739.42000000000007</v>
      </c>
      <c r="BA58" s="78">
        <f t="shared" si="384"/>
        <v>178.74</v>
      </c>
      <c r="BB58" s="78">
        <f t="shared" si="384"/>
        <v>0</v>
      </c>
      <c r="BC58" s="78">
        <f t="shared" si="384"/>
        <v>12.2</v>
      </c>
      <c r="BD58" s="78">
        <f t="shared" si="384"/>
        <v>0</v>
      </c>
      <c r="BE58" s="78">
        <f t="shared" si="384"/>
        <v>0</v>
      </c>
      <c r="BF58" s="78">
        <f t="shared" si="384"/>
        <v>22.5</v>
      </c>
      <c r="BG58" s="78">
        <f t="shared" si="384"/>
        <v>0</v>
      </c>
      <c r="BH58" s="78"/>
      <c r="BI58" s="78"/>
      <c r="BJ58" s="78"/>
      <c r="BK58" s="78"/>
      <c r="BL58" s="78">
        <f t="shared" ref="BL58:BP58" si="385">+BL55+BL56</f>
        <v>0</v>
      </c>
      <c r="BM58" s="78">
        <f t="shared" si="385"/>
        <v>0</v>
      </c>
      <c r="BN58" s="78">
        <f t="shared" si="385"/>
        <v>0</v>
      </c>
      <c r="BO58" s="78">
        <f t="shared" si="385"/>
        <v>0</v>
      </c>
      <c r="BP58" s="78">
        <f t="shared" si="385"/>
        <v>0</v>
      </c>
    </row>
    <row r="59" spans="1:68" ht="20.100000000000001" customHeight="1" x14ac:dyDescent="0.35">
      <c r="A59" s="15">
        <v>41</v>
      </c>
      <c r="B59" s="24" t="s">
        <v>39</v>
      </c>
      <c r="C59" s="17">
        <v>406</v>
      </c>
      <c r="D59" s="26">
        <v>185</v>
      </c>
      <c r="E59" s="19"/>
      <c r="F59" s="64">
        <v>0</v>
      </c>
      <c r="G59" s="64">
        <v>20</v>
      </c>
      <c r="H59" s="19"/>
      <c r="I59" s="26">
        <v>30</v>
      </c>
      <c r="J59" s="26">
        <v>0</v>
      </c>
      <c r="K59" s="19"/>
      <c r="L59" s="65">
        <v>35.700000000000003</v>
      </c>
      <c r="M59" s="65">
        <v>15.3</v>
      </c>
      <c r="N59" s="19">
        <f t="shared" si="5"/>
        <v>51</v>
      </c>
      <c r="O59" s="19">
        <f>C59+F59+I59+L59</f>
        <v>471.7</v>
      </c>
      <c r="P59" s="20">
        <f>D59+G59+J59+M59</f>
        <v>220.3</v>
      </c>
      <c r="Q59" s="19">
        <f t="shared" si="1"/>
        <v>692</v>
      </c>
      <c r="R59" s="17">
        <v>82.5</v>
      </c>
      <c r="S59" s="17">
        <v>9.15</v>
      </c>
      <c r="T59" s="17">
        <v>0</v>
      </c>
      <c r="U59" s="17">
        <v>0</v>
      </c>
      <c r="V59" s="17">
        <v>10.5</v>
      </c>
      <c r="W59" s="17">
        <v>0</v>
      </c>
      <c r="X59" s="17">
        <v>12.5</v>
      </c>
      <c r="Y59" s="113">
        <v>1.5</v>
      </c>
      <c r="Z59" s="127">
        <v>91.43</v>
      </c>
      <c r="AA59" s="127">
        <v>27.15</v>
      </c>
      <c r="AB59" s="127">
        <v>0</v>
      </c>
      <c r="AC59" s="127">
        <v>4.18</v>
      </c>
      <c r="AD59" s="127">
        <v>1.8000000000000007</v>
      </c>
      <c r="AE59" s="127">
        <v>0</v>
      </c>
      <c r="AF59" s="127"/>
      <c r="AG59" s="127"/>
      <c r="AH59" s="127">
        <v>29.03</v>
      </c>
      <c r="AI59" s="127">
        <v>24.62</v>
      </c>
      <c r="AJ59" s="127">
        <v>0</v>
      </c>
      <c r="AK59" s="127">
        <v>2.39</v>
      </c>
      <c r="AL59" s="127">
        <v>2.7</v>
      </c>
      <c r="AM59" s="127">
        <v>0</v>
      </c>
      <c r="AN59" s="127">
        <v>5.35</v>
      </c>
      <c r="AO59" s="127">
        <v>2.5299999999999998</v>
      </c>
      <c r="AP59" s="127">
        <v>101.5</v>
      </c>
      <c r="AQ59" s="127">
        <v>51.93</v>
      </c>
      <c r="AR59" s="127">
        <v>0</v>
      </c>
      <c r="AS59" s="127">
        <v>5.63</v>
      </c>
      <c r="AT59" s="127">
        <v>7.5</v>
      </c>
      <c r="AU59" s="127">
        <v>0</v>
      </c>
      <c r="AV59" s="127">
        <v>8.93</v>
      </c>
      <c r="AW59" s="127">
        <v>4.3099999999999996</v>
      </c>
      <c r="AX59" s="127"/>
      <c r="AY59" s="127"/>
      <c r="AZ59" s="127">
        <f t="shared" si="2"/>
        <v>304.46000000000004</v>
      </c>
      <c r="BA59" s="127">
        <f t="shared" si="355"/>
        <v>112.85</v>
      </c>
      <c r="BB59" s="127">
        <f t="shared" si="82"/>
        <v>0</v>
      </c>
      <c r="BC59" s="127">
        <f t="shared" si="82"/>
        <v>12.2</v>
      </c>
      <c r="BD59" s="127">
        <f t="shared" si="82"/>
        <v>22.5</v>
      </c>
      <c r="BE59" s="127">
        <f t="shared" si="82"/>
        <v>0</v>
      </c>
      <c r="BF59" s="127">
        <f t="shared" si="83"/>
        <v>26.78</v>
      </c>
      <c r="BG59" s="127">
        <f t="shared" si="83"/>
        <v>8.34</v>
      </c>
      <c r="BH59" s="2"/>
      <c r="BI59" s="2"/>
      <c r="BJ59" s="2"/>
      <c r="BK59" s="2"/>
    </row>
    <row r="60" spans="1:68" ht="20.100000000000001" customHeight="1" x14ac:dyDescent="0.35">
      <c r="A60" s="15">
        <v>42</v>
      </c>
      <c r="B60" s="16" t="s">
        <v>40</v>
      </c>
      <c r="C60" s="25">
        <v>230</v>
      </c>
      <c r="D60" s="26">
        <v>0</v>
      </c>
      <c r="E60" s="19"/>
      <c r="F60" s="64">
        <v>70</v>
      </c>
      <c r="G60" s="64">
        <v>0</v>
      </c>
      <c r="H60" s="19"/>
      <c r="I60" s="26">
        <v>20</v>
      </c>
      <c r="J60" s="26">
        <v>0</v>
      </c>
      <c r="K60" s="19"/>
      <c r="L60" s="65">
        <v>0</v>
      </c>
      <c r="M60" s="65">
        <v>0</v>
      </c>
      <c r="N60" s="19">
        <f t="shared" si="5"/>
        <v>0</v>
      </c>
      <c r="O60" s="19">
        <f>C60+F60+I60+L60</f>
        <v>320</v>
      </c>
      <c r="P60" s="20">
        <f>D60+G60+J60+M60</f>
        <v>0</v>
      </c>
      <c r="Q60" s="19">
        <f t="shared" si="1"/>
        <v>320</v>
      </c>
      <c r="R60" s="17">
        <v>45</v>
      </c>
      <c r="S60" s="17">
        <v>0</v>
      </c>
      <c r="T60" s="17">
        <v>0</v>
      </c>
      <c r="U60" s="17">
        <v>0</v>
      </c>
      <c r="V60" s="17">
        <v>5.75</v>
      </c>
      <c r="W60" s="17">
        <v>0</v>
      </c>
      <c r="X60" s="17">
        <v>0</v>
      </c>
      <c r="Y60" s="113">
        <v>0</v>
      </c>
      <c r="Z60" s="127">
        <v>53.53</v>
      </c>
      <c r="AA60" s="127">
        <v>0</v>
      </c>
      <c r="AB60" s="127">
        <v>24.46</v>
      </c>
      <c r="AC60" s="127">
        <v>0</v>
      </c>
      <c r="AD60" s="127">
        <v>2.4499999999999993</v>
      </c>
      <c r="AE60" s="127">
        <v>0</v>
      </c>
      <c r="AF60" s="127"/>
      <c r="AG60" s="127"/>
      <c r="AH60" s="127">
        <v>16.45</v>
      </c>
      <c r="AI60" s="127">
        <v>0</v>
      </c>
      <c r="AJ60" s="127">
        <v>10.54</v>
      </c>
      <c r="AK60" s="127">
        <v>0</v>
      </c>
      <c r="AL60" s="127">
        <v>1.8</v>
      </c>
      <c r="AM60" s="127">
        <v>0</v>
      </c>
      <c r="AN60" s="127">
        <v>0</v>
      </c>
      <c r="AO60" s="127">
        <v>0</v>
      </c>
      <c r="AP60" s="127">
        <v>57.5</v>
      </c>
      <c r="AQ60" s="127">
        <v>0</v>
      </c>
      <c r="AR60" s="127">
        <v>17.5</v>
      </c>
      <c r="AS60" s="127">
        <v>0</v>
      </c>
      <c r="AT60" s="127">
        <v>5</v>
      </c>
      <c r="AU60" s="127">
        <v>0</v>
      </c>
      <c r="AV60" s="127">
        <v>0</v>
      </c>
      <c r="AW60" s="127">
        <v>0</v>
      </c>
      <c r="AX60" s="127"/>
      <c r="AY60" s="127"/>
      <c r="AZ60" s="127">
        <f t="shared" si="2"/>
        <v>172.48000000000002</v>
      </c>
      <c r="BA60" s="127">
        <f t="shared" si="355"/>
        <v>0</v>
      </c>
      <c r="BB60" s="127">
        <f t="shared" si="82"/>
        <v>52.5</v>
      </c>
      <c r="BC60" s="127">
        <f t="shared" si="82"/>
        <v>0</v>
      </c>
      <c r="BD60" s="127">
        <f t="shared" si="82"/>
        <v>15</v>
      </c>
      <c r="BE60" s="127">
        <f t="shared" si="82"/>
        <v>0</v>
      </c>
      <c r="BF60" s="127">
        <f t="shared" si="83"/>
        <v>0</v>
      </c>
      <c r="BG60" s="127">
        <f t="shared" si="83"/>
        <v>0</v>
      </c>
      <c r="BH60" s="2"/>
      <c r="BI60" s="2"/>
      <c r="BJ60" s="2"/>
      <c r="BK60" s="2"/>
    </row>
    <row r="61" spans="1:68" s="6" customFormat="1" ht="20.100000000000001" customHeight="1" x14ac:dyDescent="0.3">
      <c r="A61" s="76"/>
      <c r="B61" s="85" t="s">
        <v>39</v>
      </c>
      <c r="C61" s="79">
        <f>+C59+C60</f>
        <v>636</v>
      </c>
      <c r="D61" s="79">
        <f t="shared" ref="D61:U61" si="386">+D59+D60</f>
        <v>185</v>
      </c>
      <c r="E61" s="79">
        <f t="shared" si="386"/>
        <v>0</v>
      </c>
      <c r="F61" s="79">
        <f t="shared" si="386"/>
        <v>70</v>
      </c>
      <c r="G61" s="79">
        <f t="shared" si="386"/>
        <v>20</v>
      </c>
      <c r="H61" s="79">
        <f t="shared" si="386"/>
        <v>0</v>
      </c>
      <c r="I61" s="79">
        <f t="shared" si="386"/>
        <v>50</v>
      </c>
      <c r="J61" s="79">
        <f t="shared" si="386"/>
        <v>0</v>
      </c>
      <c r="K61" s="79">
        <f t="shared" si="386"/>
        <v>0</v>
      </c>
      <c r="L61" s="79">
        <f t="shared" si="386"/>
        <v>35.700000000000003</v>
      </c>
      <c r="M61" s="79">
        <f t="shared" si="386"/>
        <v>15.3</v>
      </c>
      <c r="N61" s="79">
        <f t="shared" si="386"/>
        <v>51</v>
      </c>
      <c r="O61" s="79">
        <f t="shared" si="386"/>
        <v>791.7</v>
      </c>
      <c r="P61" s="79">
        <f t="shared" si="386"/>
        <v>220.3</v>
      </c>
      <c r="Q61" s="79">
        <f t="shared" si="386"/>
        <v>1012</v>
      </c>
      <c r="R61" s="79">
        <f t="shared" si="386"/>
        <v>127.5</v>
      </c>
      <c r="S61" s="79">
        <f t="shared" si="386"/>
        <v>9.15</v>
      </c>
      <c r="T61" s="79">
        <f t="shared" si="386"/>
        <v>0</v>
      </c>
      <c r="U61" s="79">
        <f t="shared" si="386"/>
        <v>0</v>
      </c>
      <c r="V61" s="79">
        <f t="shared" ref="V61" si="387">+V59+V60</f>
        <v>16.25</v>
      </c>
      <c r="W61" s="79">
        <f t="shared" ref="W61" si="388">+W59+W60</f>
        <v>0</v>
      </c>
      <c r="X61" s="79">
        <f t="shared" ref="X61" si="389">+X59+X60</f>
        <v>12.5</v>
      </c>
      <c r="Y61" s="115">
        <f t="shared" ref="Y61" si="390">+Y59+Y60</f>
        <v>1.5</v>
      </c>
      <c r="Z61" s="79">
        <f t="shared" ref="Z61" si="391">+Z59+Z60</f>
        <v>144.96</v>
      </c>
      <c r="AA61" s="79">
        <f t="shared" ref="AA61" si="392">+AA59+AA60</f>
        <v>27.15</v>
      </c>
      <c r="AB61" s="79">
        <f t="shared" ref="AB61" si="393">+AB59+AB60</f>
        <v>24.46</v>
      </c>
      <c r="AC61" s="79">
        <f t="shared" ref="AC61" si="394">+AC59+AC60</f>
        <v>4.18</v>
      </c>
      <c r="AD61" s="79">
        <f t="shared" ref="AD61" si="395">+AD59+AD60</f>
        <v>4.25</v>
      </c>
      <c r="AE61" s="79">
        <f t="shared" ref="AE61" si="396">+AE59+AE60</f>
        <v>0</v>
      </c>
      <c r="AF61" s="79">
        <f t="shared" ref="AF61" si="397">+AF59+AF60</f>
        <v>0</v>
      </c>
      <c r="AG61" s="79">
        <f t="shared" ref="AG61" si="398">+AG59+AG60</f>
        <v>0</v>
      </c>
      <c r="AH61" s="79">
        <f t="shared" ref="AH61" si="399">+AH59+AH60</f>
        <v>45.480000000000004</v>
      </c>
      <c r="AI61" s="79">
        <f t="shared" ref="AI61" si="400">+AI59+AI60</f>
        <v>24.62</v>
      </c>
      <c r="AJ61" s="79">
        <f t="shared" ref="AJ61" si="401">+AJ59+AJ60</f>
        <v>10.54</v>
      </c>
      <c r="AK61" s="79">
        <f t="shared" ref="AK61" si="402">+AK59+AK60</f>
        <v>2.39</v>
      </c>
      <c r="AL61" s="79">
        <f t="shared" ref="AL61" si="403">+AL59+AL60</f>
        <v>4.5</v>
      </c>
      <c r="AM61" s="79">
        <f t="shared" ref="AM61" si="404">+AM59+AM60</f>
        <v>0</v>
      </c>
      <c r="AN61" s="79">
        <f t="shared" ref="AN61" si="405">+AN59+AN60</f>
        <v>5.35</v>
      </c>
      <c r="AO61" s="79">
        <f t="shared" ref="AO61" si="406">+AO59+AO60</f>
        <v>2.5299999999999998</v>
      </c>
      <c r="AP61" s="79">
        <f t="shared" ref="AP61" si="407">+AP59+AP60</f>
        <v>159</v>
      </c>
      <c r="AQ61" s="79">
        <f t="shared" ref="AQ61" si="408">+AQ59+AQ60</f>
        <v>51.93</v>
      </c>
      <c r="AR61" s="79">
        <f t="shared" ref="AR61" si="409">+AR59+AR60</f>
        <v>17.5</v>
      </c>
      <c r="AS61" s="79">
        <f t="shared" ref="AS61" si="410">+AS59+AS60</f>
        <v>5.63</v>
      </c>
      <c r="AT61" s="79">
        <f t="shared" ref="AT61" si="411">+AT59+AT60</f>
        <v>12.5</v>
      </c>
      <c r="AU61" s="79">
        <f t="shared" ref="AU61" si="412">+AU59+AU60</f>
        <v>0</v>
      </c>
      <c r="AV61" s="79">
        <f t="shared" ref="AV61:BG61" si="413">+AV59+AV60</f>
        <v>8.93</v>
      </c>
      <c r="AW61" s="79">
        <f t="shared" si="413"/>
        <v>4.3099999999999996</v>
      </c>
      <c r="AX61" s="79">
        <f t="shared" si="413"/>
        <v>0</v>
      </c>
      <c r="AY61" s="79">
        <f t="shared" si="413"/>
        <v>0</v>
      </c>
      <c r="AZ61" s="79">
        <f t="shared" si="413"/>
        <v>476.94000000000005</v>
      </c>
      <c r="BA61" s="79">
        <f t="shared" si="413"/>
        <v>112.85</v>
      </c>
      <c r="BB61" s="79">
        <f t="shared" si="413"/>
        <v>52.5</v>
      </c>
      <c r="BC61" s="79">
        <f t="shared" si="413"/>
        <v>12.2</v>
      </c>
      <c r="BD61" s="79">
        <f t="shared" si="413"/>
        <v>37.5</v>
      </c>
      <c r="BE61" s="79">
        <f t="shared" si="413"/>
        <v>0</v>
      </c>
      <c r="BF61" s="79">
        <f t="shared" si="413"/>
        <v>26.78</v>
      </c>
      <c r="BG61" s="79">
        <f t="shared" si="413"/>
        <v>8.34</v>
      </c>
      <c r="BH61" s="79"/>
      <c r="BI61" s="79"/>
      <c r="BJ61" s="79"/>
      <c r="BK61" s="79"/>
      <c r="BL61" s="79">
        <f t="shared" ref="BL61:BN61" si="414">+BL59+BL60</f>
        <v>0</v>
      </c>
      <c r="BM61" s="79">
        <f t="shared" si="414"/>
        <v>0</v>
      </c>
      <c r="BN61" s="79">
        <f t="shared" si="414"/>
        <v>0</v>
      </c>
    </row>
    <row r="62" spans="1:68" ht="20.100000000000001" customHeight="1" x14ac:dyDescent="0.35">
      <c r="A62" s="15">
        <v>43</v>
      </c>
      <c r="B62" s="16" t="s">
        <v>41</v>
      </c>
      <c r="C62" s="17">
        <v>674</v>
      </c>
      <c r="D62" s="26">
        <v>171</v>
      </c>
      <c r="E62" s="19"/>
      <c r="F62" s="64">
        <v>15</v>
      </c>
      <c r="G62" s="64">
        <v>27</v>
      </c>
      <c r="H62" s="19"/>
      <c r="I62" s="26">
        <v>30</v>
      </c>
      <c r="J62" s="26">
        <v>10</v>
      </c>
      <c r="K62" s="19"/>
      <c r="L62" s="65">
        <v>50</v>
      </c>
      <c r="M62" s="65">
        <v>17</v>
      </c>
      <c r="N62" s="19">
        <f t="shared" si="5"/>
        <v>67</v>
      </c>
      <c r="O62" s="19">
        <f t="shared" ref="O62:P63" si="415">C62+F62+I62+L62</f>
        <v>769</v>
      </c>
      <c r="P62" s="20">
        <f t="shared" si="415"/>
        <v>225</v>
      </c>
      <c r="Q62" s="19">
        <f t="shared" si="1"/>
        <v>994</v>
      </c>
      <c r="R62" s="17">
        <v>162.5</v>
      </c>
      <c r="S62" s="17">
        <v>11.25</v>
      </c>
      <c r="T62" s="17">
        <v>15</v>
      </c>
      <c r="U62" s="17">
        <v>0</v>
      </c>
      <c r="V62" s="17">
        <v>12.5</v>
      </c>
      <c r="W62" s="17">
        <v>0</v>
      </c>
      <c r="X62" s="17">
        <v>50</v>
      </c>
      <c r="Y62" s="113">
        <v>0</v>
      </c>
      <c r="Z62" s="127">
        <v>126.24000000000001</v>
      </c>
      <c r="AA62" s="127">
        <v>22.299999999999997</v>
      </c>
      <c r="AB62" s="127">
        <v>0</v>
      </c>
      <c r="AC62" s="127">
        <v>5.65</v>
      </c>
      <c r="AD62" s="127">
        <v>0</v>
      </c>
      <c r="AE62" s="127">
        <v>0.75</v>
      </c>
      <c r="AF62" s="127"/>
      <c r="AG62" s="127"/>
      <c r="AH62" s="127">
        <v>48.19</v>
      </c>
      <c r="AI62" s="127">
        <v>22.76</v>
      </c>
      <c r="AJ62" s="127">
        <v>2.2599999999999998</v>
      </c>
      <c r="AK62" s="127">
        <v>3.22</v>
      </c>
      <c r="AL62" s="127">
        <v>3.6</v>
      </c>
      <c r="AM62" s="127">
        <v>1.52</v>
      </c>
      <c r="AN62" s="127">
        <v>0</v>
      </c>
      <c r="AO62" s="127">
        <v>2.06</v>
      </c>
      <c r="AP62" s="127">
        <v>168.5</v>
      </c>
      <c r="AQ62" s="127">
        <v>48</v>
      </c>
      <c r="AR62" s="127">
        <v>0</v>
      </c>
      <c r="AS62" s="127">
        <v>7.6</v>
      </c>
      <c r="AT62" s="127">
        <v>0</v>
      </c>
      <c r="AU62" s="127">
        <v>2.82</v>
      </c>
      <c r="AV62" s="127">
        <v>0</v>
      </c>
      <c r="AW62" s="127">
        <v>4.79</v>
      </c>
      <c r="AX62" s="127"/>
      <c r="AY62" s="127"/>
      <c r="AZ62" s="127">
        <f t="shared" si="2"/>
        <v>505.43</v>
      </c>
      <c r="BA62" s="127">
        <f t="shared" si="355"/>
        <v>104.31</v>
      </c>
      <c r="BB62" s="127">
        <f t="shared" si="82"/>
        <v>17.259999999999998</v>
      </c>
      <c r="BC62" s="127">
        <f t="shared" si="82"/>
        <v>16.47</v>
      </c>
      <c r="BD62" s="127">
        <f t="shared" si="82"/>
        <v>16.100000000000001</v>
      </c>
      <c r="BE62" s="127">
        <f t="shared" si="82"/>
        <v>5.09</v>
      </c>
      <c r="BF62" s="127">
        <f t="shared" si="83"/>
        <v>50</v>
      </c>
      <c r="BG62" s="127">
        <f t="shared" si="83"/>
        <v>6.85</v>
      </c>
      <c r="BH62" s="2"/>
      <c r="BI62" s="2"/>
      <c r="BJ62" s="2"/>
      <c r="BK62" s="2"/>
    </row>
    <row r="63" spans="1:68" ht="20.100000000000001" customHeight="1" x14ac:dyDescent="0.35">
      <c r="A63" s="15">
        <v>44</v>
      </c>
      <c r="B63" s="106" t="s">
        <v>266</v>
      </c>
      <c r="C63" s="17">
        <v>565</v>
      </c>
      <c r="D63" s="26">
        <v>105</v>
      </c>
      <c r="E63" s="19"/>
      <c r="F63" s="64">
        <v>12.5</v>
      </c>
      <c r="G63" s="64">
        <v>35</v>
      </c>
      <c r="H63" s="19"/>
      <c r="I63" s="26">
        <v>10</v>
      </c>
      <c r="J63" s="26">
        <v>12</v>
      </c>
      <c r="K63" s="19"/>
      <c r="L63" s="65">
        <v>0</v>
      </c>
      <c r="M63" s="65">
        <v>5</v>
      </c>
      <c r="N63" s="19">
        <f t="shared" si="5"/>
        <v>5</v>
      </c>
      <c r="O63" s="19">
        <f t="shared" si="415"/>
        <v>587.5</v>
      </c>
      <c r="P63" s="20">
        <f t="shared" si="415"/>
        <v>157</v>
      </c>
      <c r="Q63" s="19">
        <f t="shared" si="1"/>
        <v>744.5</v>
      </c>
      <c r="R63" s="95">
        <v>152.5</v>
      </c>
      <c r="S63" s="17">
        <v>0</v>
      </c>
      <c r="T63" s="17">
        <v>12.5</v>
      </c>
      <c r="U63" s="17">
        <v>0</v>
      </c>
      <c r="V63" s="17">
        <v>26.25</v>
      </c>
      <c r="W63" s="17">
        <v>0</v>
      </c>
      <c r="X63" s="17">
        <v>0</v>
      </c>
      <c r="Y63" s="113">
        <v>0</v>
      </c>
      <c r="Z63" s="127">
        <v>89.550000000000011</v>
      </c>
      <c r="AA63" s="127">
        <v>7.6000000000000014</v>
      </c>
      <c r="AB63" s="127">
        <v>0</v>
      </c>
      <c r="AC63" s="127">
        <v>7.32</v>
      </c>
      <c r="AD63" s="127">
        <v>0</v>
      </c>
      <c r="AE63" s="127">
        <v>0.5</v>
      </c>
      <c r="AF63" s="127"/>
      <c r="AG63" s="127"/>
      <c r="AH63" s="127">
        <v>40.4</v>
      </c>
      <c r="AI63" s="127">
        <v>13.98</v>
      </c>
      <c r="AJ63" s="127">
        <v>1.88</v>
      </c>
      <c r="AK63" s="127">
        <v>4.18</v>
      </c>
      <c r="AL63" s="127">
        <v>0</v>
      </c>
      <c r="AM63" s="127">
        <v>1.82</v>
      </c>
      <c r="AN63" s="127">
        <v>0</v>
      </c>
      <c r="AO63" s="127">
        <v>1.64</v>
      </c>
      <c r="AP63" s="127">
        <v>141.25</v>
      </c>
      <c r="AQ63" s="127">
        <v>29.47</v>
      </c>
      <c r="AR63" s="127">
        <v>0</v>
      </c>
      <c r="AS63" s="127">
        <v>9.85</v>
      </c>
      <c r="AT63" s="127">
        <v>0</v>
      </c>
      <c r="AU63" s="127">
        <v>3.38</v>
      </c>
      <c r="AV63" s="127">
        <v>0</v>
      </c>
      <c r="AW63" s="127">
        <v>1.41</v>
      </c>
      <c r="AX63" s="127"/>
      <c r="AY63" s="127"/>
      <c r="AZ63" s="127">
        <f t="shared" si="2"/>
        <v>423.70000000000005</v>
      </c>
      <c r="BA63" s="127">
        <f t="shared" si="355"/>
        <v>51.050000000000004</v>
      </c>
      <c r="BB63" s="127">
        <f t="shared" si="82"/>
        <v>14.379999999999999</v>
      </c>
      <c r="BC63" s="127">
        <f t="shared" si="82"/>
        <v>21.35</v>
      </c>
      <c r="BD63" s="127">
        <f t="shared" si="82"/>
        <v>26.25</v>
      </c>
      <c r="BE63" s="127">
        <f t="shared" si="82"/>
        <v>5.7</v>
      </c>
      <c r="BF63" s="127">
        <f t="shared" si="83"/>
        <v>0</v>
      </c>
      <c r="BG63" s="127">
        <f t="shared" si="83"/>
        <v>3.05</v>
      </c>
      <c r="BH63" s="2"/>
      <c r="BI63" s="2"/>
      <c r="BJ63" s="2"/>
      <c r="BK63" s="2"/>
    </row>
    <row r="64" spans="1:68" s="6" customFormat="1" ht="20.100000000000001" customHeight="1" x14ac:dyDescent="0.3">
      <c r="A64" s="76"/>
      <c r="B64" s="77" t="s">
        <v>41</v>
      </c>
      <c r="C64" s="78">
        <f>+C62+C63</f>
        <v>1239</v>
      </c>
      <c r="D64" s="78">
        <f t="shared" ref="D64:T64" si="416">+D62+D63</f>
        <v>276</v>
      </c>
      <c r="E64" s="78">
        <f t="shared" si="416"/>
        <v>0</v>
      </c>
      <c r="F64" s="78">
        <f t="shared" si="416"/>
        <v>27.5</v>
      </c>
      <c r="G64" s="78">
        <f t="shared" si="416"/>
        <v>62</v>
      </c>
      <c r="H64" s="78">
        <f t="shared" si="416"/>
        <v>0</v>
      </c>
      <c r="I64" s="78">
        <f t="shared" si="416"/>
        <v>40</v>
      </c>
      <c r="J64" s="78">
        <f t="shared" si="416"/>
        <v>22</v>
      </c>
      <c r="K64" s="78">
        <f t="shared" si="416"/>
        <v>0</v>
      </c>
      <c r="L64" s="78">
        <f t="shared" si="416"/>
        <v>50</v>
      </c>
      <c r="M64" s="78">
        <f t="shared" si="416"/>
        <v>22</v>
      </c>
      <c r="N64" s="78">
        <f t="shared" si="416"/>
        <v>72</v>
      </c>
      <c r="O64" s="78">
        <f t="shared" si="416"/>
        <v>1356.5</v>
      </c>
      <c r="P64" s="78">
        <f t="shared" si="416"/>
        <v>382</v>
      </c>
      <c r="Q64" s="78">
        <f t="shared" si="416"/>
        <v>1738.5</v>
      </c>
      <c r="R64" s="78">
        <f t="shared" si="416"/>
        <v>315</v>
      </c>
      <c r="S64" s="78">
        <f t="shared" si="416"/>
        <v>11.25</v>
      </c>
      <c r="T64" s="78">
        <f t="shared" si="416"/>
        <v>27.5</v>
      </c>
      <c r="U64" s="78">
        <f t="shared" ref="U64" si="417">+U62+U63</f>
        <v>0</v>
      </c>
      <c r="V64" s="78">
        <f t="shared" ref="V64" si="418">+V62+V63</f>
        <v>38.75</v>
      </c>
      <c r="W64" s="78">
        <f t="shared" ref="W64" si="419">+W62+W63</f>
        <v>0</v>
      </c>
      <c r="X64" s="78">
        <f t="shared" ref="X64" si="420">+X62+X63</f>
        <v>50</v>
      </c>
      <c r="Y64" s="114">
        <f t="shared" ref="Y64" si="421">+Y62+Y63</f>
        <v>0</v>
      </c>
      <c r="Z64" s="78">
        <f t="shared" ref="Z64" si="422">+Z62+Z63</f>
        <v>215.79000000000002</v>
      </c>
      <c r="AA64" s="78">
        <f t="shared" ref="AA64" si="423">+AA62+AA63</f>
        <v>29.9</v>
      </c>
      <c r="AB64" s="78">
        <f t="shared" ref="AB64" si="424">+AB62+AB63</f>
        <v>0</v>
      </c>
      <c r="AC64" s="78">
        <f t="shared" ref="AC64" si="425">+AC62+AC63</f>
        <v>12.97</v>
      </c>
      <c r="AD64" s="78">
        <f t="shared" ref="AD64" si="426">+AD62+AD63</f>
        <v>0</v>
      </c>
      <c r="AE64" s="78">
        <f t="shared" ref="AE64" si="427">+AE62+AE63</f>
        <v>1.25</v>
      </c>
      <c r="AF64" s="78">
        <f t="shared" ref="AF64" si="428">+AF62+AF63</f>
        <v>0</v>
      </c>
      <c r="AG64" s="78">
        <f t="shared" ref="AG64" si="429">+AG62+AG63</f>
        <v>0</v>
      </c>
      <c r="AH64" s="78">
        <f t="shared" ref="AH64" si="430">+AH62+AH63</f>
        <v>88.59</v>
      </c>
      <c r="AI64" s="78">
        <f t="shared" ref="AI64" si="431">+AI62+AI63</f>
        <v>36.74</v>
      </c>
      <c r="AJ64" s="78">
        <f t="shared" ref="AJ64" si="432">+AJ62+AJ63</f>
        <v>4.1399999999999997</v>
      </c>
      <c r="AK64" s="78">
        <f t="shared" ref="AK64" si="433">+AK62+AK63</f>
        <v>7.4</v>
      </c>
      <c r="AL64" s="78">
        <f t="shared" ref="AL64" si="434">+AL62+AL63</f>
        <v>3.6</v>
      </c>
      <c r="AM64" s="78">
        <f t="shared" ref="AM64" si="435">+AM62+AM63</f>
        <v>3.34</v>
      </c>
      <c r="AN64" s="78">
        <f t="shared" ref="AN64" si="436">+AN62+AN63</f>
        <v>0</v>
      </c>
      <c r="AO64" s="78">
        <f t="shared" ref="AO64" si="437">+AO62+AO63</f>
        <v>3.7</v>
      </c>
      <c r="AP64" s="78">
        <f t="shared" ref="AP64" si="438">+AP62+AP63</f>
        <v>309.75</v>
      </c>
      <c r="AQ64" s="78">
        <f t="shared" ref="AQ64" si="439">+AQ62+AQ63</f>
        <v>77.47</v>
      </c>
      <c r="AR64" s="78">
        <f t="shared" ref="AR64" si="440">+AR62+AR63</f>
        <v>0</v>
      </c>
      <c r="AS64" s="78">
        <f t="shared" ref="AS64" si="441">+AS62+AS63</f>
        <v>17.45</v>
      </c>
      <c r="AT64" s="78">
        <f t="shared" ref="AT64" si="442">+AT62+AT63</f>
        <v>0</v>
      </c>
      <c r="AU64" s="78">
        <f t="shared" ref="AU64:BG64" si="443">+AU62+AU63</f>
        <v>6.1999999999999993</v>
      </c>
      <c r="AV64" s="78">
        <f t="shared" si="443"/>
        <v>0</v>
      </c>
      <c r="AW64" s="78">
        <f t="shared" si="443"/>
        <v>6.2</v>
      </c>
      <c r="AX64" s="78">
        <f t="shared" si="443"/>
        <v>0</v>
      </c>
      <c r="AY64" s="78">
        <f t="shared" si="443"/>
        <v>0</v>
      </c>
      <c r="AZ64" s="78">
        <f t="shared" si="443"/>
        <v>929.13000000000011</v>
      </c>
      <c r="BA64" s="78">
        <f t="shared" si="443"/>
        <v>155.36000000000001</v>
      </c>
      <c r="BB64" s="78">
        <f t="shared" si="443"/>
        <v>31.639999999999997</v>
      </c>
      <c r="BC64" s="78">
        <f t="shared" si="443"/>
        <v>37.82</v>
      </c>
      <c r="BD64" s="78">
        <f t="shared" si="443"/>
        <v>42.35</v>
      </c>
      <c r="BE64" s="78">
        <f t="shared" si="443"/>
        <v>10.79</v>
      </c>
      <c r="BF64" s="78">
        <f t="shared" si="443"/>
        <v>50</v>
      </c>
      <c r="BG64" s="78">
        <f t="shared" si="443"/>
        <v>9.8999999999999986</v>
      </c>
      <c r="BH64" s="78"/>
      <c r="BI64" s="78"/>
      <c r="BJ64" s="78"/>
      <c r="BK64" s="78"/>
    </row>
    <row r="65" spans="1:68" ht="20.100000000000001" customHeight="1" x14ac:dyDescent="0.35">
      <c r="A65" s="15">
        <v>45</v>
      </c>
      <c r="B65" s="16" t="s">
        <v>42</v>
      </c>
      <c r="C65" s="17">
        <v>264</v>
      </c>
      <c r="D65" s="26">
        <v>118</v>
      </c>
      <c r="E65" s="19"/>
      <c r="F65" s="64">
        <v>37</v>
      </c>
      <c r="G65" s="64">
        <v>20</v>
      </c>
      <c r="H65" s="19"/>
      <c r="I65" s="26">
        <v>20</v>
      </c>
      <c r="J65" s="26">
        <v>2</v>
      </c>
      <c r="K65" s="19"/>
      <c r="L65" s="65">
        <v>50</v>
      </c>
      <c r="M65" s="65">
        <v>5</v>
      </c>
      <c r="N65" s="19">
        <f t="shared" si="5"/>
        <v>55</v>
      </c>
      <c r="O65" s="19">
        <f>C65+F65+I65+L65</f>
        <v>371</v>
      </c>
      <c r="P65" s="20">
        <f>D65+G65+J65+M65</f>
        <v>145</v>
      </c>
      <c r="Q65" s="19">
        <f t="shared" si="1"/>
        <v>516</v>
      </c>
      <c r="R65" s="17">
        <v>97.5</v>
      </c>
      <c r="S65" s="17">
        <v>36.15</v>
      </c>
      <c r="T65" s="17">
        <v>0</v>
      </c>
      <c r="U65" s="17">
        <v>0</v>
      </c>
      <c r="V65" s="17">
        <v>5</v>
      </c>
      <c r="W65" s="17">
        <v>0</v>
      </c>
      <c r="X65" s="17">
        <v>17.5</v>
      </c>
      <c r="Y65" s="113">
        <v>2.25</v>
      </c>
      <c r="Z65" s="127">
        <v>15.599999999999994</v>
      </c>
      <c r="AA65" s="127">
        <v>0</v>
      </c>
      <c r="AB65" s="127">
        <v>3.17</v>
      </c>
      <c r="AC65" s="127">
        <v>4.18</v>
      </c>
      <c r="AD65" s="127">
        <v>2.8499999999999992</v>
      </c>
      <c r="AE65" s="127">
        <v>0.2</v>
      </c>
      <c r="AF65" s="127"/>
      <c r="AG65" s="127"/>
      <c r="AH65" s="127">
        <v>18.88</v>
      </c>
      <c r="AI65" s="127">
        <v>15.71</v>
      </c>
      <c r="AJ65" s="127">
        <v>5.57</v>
      </c>
      <c r="AK65" s="127">
        <v>2.39</v>
      </c>
      <c r="AL65" s="127">
        <v>1.8</v>
      </c>
      <c r="AM65" s="127">
        <v>0.3</v>
      </c>
      <c r="AN65" s="127">
        <v>7.5</v>
      </c>
      <c r="AO65" s="127">
        <v>0</v>
      </c>
      <c r="AP65" s="127">
        <v>66</v>
      </c>
      <c r="AQ65" s="127">
        <v>33.119999999999997</v>
      </c>
      <c r="AR65" s="127">
        <v>9.25</v>
      </c>
      <c r="AS65" s="127">
        <v>5.63</v>
      </c>
      <c r="AT65" s="127">
        <v>5</v>
      </c>
      <c r="AU65" s="127">
        <v>0.55000000000000004</v>
      </c>
      <c r="AV65" s="127">
        <v>12.5</v>
      </c>
      <c r="AW65" s="127">
        <v>1.41</v>
      </c>
      <c r="AX65" s="127"/>
      <c r="AY65" s="127"/>
      <c r="AZ65" s="127">
        <f t="shared" si="2"/>
        <v>197.98</v>
      </c>
      <c r="BA65" s="127">
        <f t="shared" si="355"/>
        <v>84.97999999999999</v>
      </c>
      <c r="BB65" s="127">
        <f t="shared" si="82"/>
        <v>17.990000000000002</v>
      </c>
      <c r="BC65" s="127">
        <f t="shared" si="82"/>
        <v>12.2</v>
      </c>
      <c r="BD65" s="127">
        <f t="shared" si="82"/>
        <v>14.649999999999999</v>
      </c>
      <c r="BE65" s="127">
        <f t="shared" si="82"/>
        <v>1.05</v>
      </c>
      <c r="BF65" s="127">
        <f t="shared" si="83"/>
        <v>37.5</v>
      </c>
      <c r="BG65" s="127">
        <f t="shared" si="83"/>
        <v>3.66</v>
      </c>
      <c r="BH65" s="2"/>
      <c r="BI65" s="2"/>
      <c r="BJ65" s="2"/>
      <c r="BK65" s="2"/>
    </row>
    <row r="66" spans="1:68" ht="20.100000000000001" customHeight="1" x14ac:dyDescent="0.35">
      <c r="A66" s="15">
        <v>46</v>
      </c>
      <c r="B66" s="16" t="s">
        <v>43</v>
      </c>
      <c r="C66" s="17">
        <v>181</v>
      </c>
      <c r="D66" s="26">
        <v>0</v>
      </c>
      <c r="E66" s="19"/>
      <c r="F66" s="64">
        <v>25</v>
      </c>
      <c r="G66" s="64">
        <v>0</v>
      </c>
      <c r="H66" s="19"/>
      <c r="I66" s="26">
        <v>25</v>
      </c>
      <c r="J66" s="26">
        <v>0</v>
      </c>
      <c r="K66" s="19"/>
      <c r="L66" s="65">
        <v>0</v>
      </c>
      <c r="M66" s="65">
        <v>0</v>
      </c>
      <c r="N66" s="19">
        <f t="shared" si="5"/>
        <v>0</v>
      </c>
      <c r="O66" s="19">
        <f>C66+F66+I66+L66</f>
        <v>231</v>
      </c>
      <c r="P66" s="20">
        <f>D66+G66+J66+M66</f>
        <v>0</v>
      </c>
      <c r="Q66" s="19">
        <f t="shared" si="1"/>
        <v>231</v>
      </c>
      <c r="R66" s="17">
        <v>36.25</v>
      </c>
      <c r="S66" s="17">
        <v>0</v>
      </c>
      <c r="T66" s="17">
        <v>0</v>
      </c>
      <c r="U66" s="17">
        <v>0</v>
      </c>
      <c r="V66" s="17">
        <v>6.25</v>
      </c>
      <c r="W66" s="17">
        <v>0</v>
      </c>
      <c r="X66" s="17">
        <v>0</v>
      </c>
      <c r="Y66" s="113">
        <v>0</v>
      </c>
      <c r="Z66" s="127">
        <v>41.290000000000006</v>
      </c>
      <c r="AA66" s="127">
        <v>0</v>
      </c>
      <c r="AB66" s="127">
        <v>8.74</v>
      </c>
      <c r="AC66" s="127">
        <v>0</v>
      </c>
      <c r="AD66" s="127">
        <v>2</v>
      </c>
      <c r="AE66" s="127">
        <v>0</v>
      </c>
      <c r="AF66" s="127"/>
      <c r="AG66" s="127"/>
      <c r="AH66" s="127">
        <v>12.94</v>
      </c>
      <c r="AI66" s="127">
        <v>0</v>
      </c>
      <c r="AJ66" s="127">
        <v>3.77</v>
      </c>
      <c r="AK66" s="127">
        <v>0</v>
      </c>
      <c r="AL66" s="127">
        <v>2.25</v>
      </c>
      <c r="AM66" s="127">
        <v>0</v>
      </c>
      <c r="AN66" s="127">
        <v>0</v>
      </c>
      <c r="AO66" s="127">
        <v>0</v>
      </c>
      <c r="AP66" s="127">
        <v>45.25</v>
      </c>
      <c r="AQ66" s="127">
        <v>0</v>
      </c>
      <c r="AR66" s="127">
        <v>6.25</v>
      </c>
      <c r="AS66" s="127">
        <v>0</v>
      </c>
      <c r="AT66" s="127">
        <v>6.25</v>
      </c>
      <c r="AU66" s="127">
        <v>0</v>
      </c>
      <c r="AV66" s="127">
        <v>0</v>
      </c>
      <c r="AW66" s="127">
        <v>0</v>
      </c>
      <c r="AX66" s="127"/>
      <c r="AY66" s="127"/>
      <c r="AZ66" s="127">
        <f t="shared" si="2"/>
        <v>135.73000000000002</v>
      </c>
      <c r="BA66" s="127">
        <f t="shared" si="355"/>
        <v>0</v>
      </c>
      <c r="BB66" s="127">
        <f t="shared" si="82"/>
        <v>18.759999999999998</v>
      </c>
      <c r="BC66" s="127">
        <f t="shared" si="82"/>
        <v>0</v>
      </c>
      <c r="BD66" s="127">
        <f t="shared" si="82"/>
        <v>16.75</v>
      </c>
      <c r="BE66" s="127">
        <f t="shared" ref="BE66:BG129" si="444">+AU66+AM66+AE66+W66</f>
        <v>0</v>
      </c>
      <c r="BF66" s="127">
        <f t="shared" si="83"/>
        <v>0</v>
      </c>
      <c r="BG66" s="127">
        <f t="shared" si="83"/>
        <v>0</v>
      </c>
      <c r="BH66" s="2"/>
      <c r="BI66" s="2"/>
      <c r="BJ66" s="2"/>
      <c r="BK66" s="2"/>
    </row>
    <row r="67" spans="1:68" s="6" customFormat="1" ht="20.100000000000001" customHeight="1" x14ac:dyDescent="0.3">
      <c r="A67" s="76"/>
      <c r="B67" s="77" t="s">
        <v>42</v>
      </c>
      <c r="C67" s="78">
        <f>+C65+C66</f>
        <v>445</v>
      </c>
      <c r="D67" s="78">
        <f t="shared" ref="D67:S67" si="445">+D65+D66</f>
        <v>118</v>
      </c>
      <c r="E67" s="78">
        <f t="shared" si="445"/>
        <v>0</v>
      </c>
      <c r="F67" s="78">
        <f t="shared" si="445"/>
        <v>62</v>
      </c>
      <c r="G67" s="78">
        <f t="shared" si="445"/>
        <v>20</v>
      </c>
      <c r="H67" s="78">
        <f t="shared" si="445"/>
        <v>0</v>
      </c>
      <c r="I67" s="78">
        <f t="shared" si="445"/>
        <v>45</v>
      </c>
      <c r="J67" s="78">
        <f t="shared" si="445"/>
        <v>2</v>
      </c>
      <c r="K67" s="78">
        <f t="shared" si="445"/>
        <v>0</v>
      </c>
      <c r="L67" s="78">
        <f t="shared" si="445"/>
        <v>50</v>
      </c>
      <c r="M67" s="78">
        <f t="shared" si="445"/>
        <v>5</v>
      </c>
      <c r="N67" s="78">
        <f t="shared" si="445"/>
        <v>55</v>
      </c>
      <c r="O67" s="78">
        <f t="shared" si="445"/>
        <v>602</v>
      </c>
      <c r="P67" s="78">
        <f t="shared" si="445"/>
        <v>145</v>
      </c>
      <c r="Q67" s="78">
        <f t="shared" si="445"/>
        <v>747</v>
      </c>
      <c r="R67" s="78">
        <f t="shared" si="445"/>
        <v>133.75</v>
      </c>
      <c r="S67" s="78">
        <f t="shared" si="445"/>
        <v>36.15</v>
      </c>
      <c r="T67" s="78">
        <f t="shared" ref="T67" si="446">+T65+T66</f>
        <v>0</v>
      </c>
      <c r="U67" s="78">
        <f t="shared" ref="U67" si="447">+U65+U66</f>
        <v>0</v>
      </c>
      <c r="V67" s="78">
        <f t="shared" ref="V67" si="448">+V65+V66</f>
        <v>11.25</v>
      </c>
      <c r="W67" s="78">
        <f t="shared" ref="W67" si="449">+W65+W66</f>
        <v>0</v>
      </c>
      <c r="X67" s="78">
        <f t="shared" ref="X67" si="450">+X65+X66</f>
        <v>17.5</v>
      </c>
      <c r="Y67" s="114">
        <f t="shared" ref="Y67" si="451">+Y65+Y66</f>
        <v>2.25</v>
      </c>
      <c r="Z67" s="78">
        <f t="shared" ref="Z67" si="452">+Z65+Z66</f>
        <v>56.89</v>
      </c>
      <c r="AA67" s="78">
        <f t="shared" ref="AA67" si="453">+AA65+AA66</f>
        <v>0</v>
      </c>
      <c r="AB67" s="78">
        <f t="shared" ref="AB67" si="454">+AB65+AB66</f>
        <v>11.91</v>
      </c>
      <c r="AC67" s="78">
        <f t="shared" ref="AC67" si="455">+AC65+AC66</f>
        <v>4.18</v>
      </c>
      <c r="AD67" s="78">
        <f t="shared" ref="AD67" si="456">+AD65+AD66</f>
        <v>4.8499999999999996</v>
      </c>
      <c r="AE67" s="78">
        <f t="shared" ref="AE67" si="457">+AE65+AE66</f>
        <v>0.2</v>
      </c>
      <c r="AF67" s="78">
        <f t="shared" ref="AF67" si="458">+AF65+AF66</f>
        <v>0</v>
      </c>
      <c r="AG67" s="78">
        <f t="shared" ref="AG67" si="459">+AG65+AG66</f>
        <v>0</v>
      </c>
      <c r="AH67" s="78">
        <f t="shared" ref="AH67" si="460">+AH65+AH66</f>
        <v>31.82</v>
      </c>
      <c r="AI67" s="78">
        <f t="shared" ref="AI67" si="461">+AI65+AI66</f>
        <v>15.71</v>
      </c>
      <c r="AJ67" s="78">
        <f t="shared" ref="AJ67" si="462">+AJ65+AJ66</f>
        <v>9.34</v>
      </c>
      <c r="AK67" s="78">
        <f t="shared" ref="AK67" si="463">+AK65+AK66</f>
        <v>2.39</v>
      </c>
      <c r="AL67" s="78">
        <f t="shared" ref="AL67" si="464">+AL65+AL66</f>
        <v>4.05</v>
      </c>
      <c r="AM67" s="78">
        <f t="shared" ref="AM67" si="465">+AM65+AM66</f>
        <v>0.3</v>
      </c>
      <c r="AN67" s="78">
        <f t="shared" ref="AN67" si="466">+AN65+AN66</f>
        <v>7.5</v>
      </c>
      <c r="AO67" s="78">
        <f t="shared" ref="AO67" si="467">+AO65+AO66</f>
        <v>0</v>
      </c>
      <c r="AP67" s="78">
        <f t="shared" ref="AP67" si="468">+AP65+AP66</f>
        <v>111.25</v>
      </c>
      <c r="AQ67" s="78">
        <f t="shared" ref="AQ67" si="469">+AQ65+AQ66</f>
        <v>33.119999999999997</v>
      </c>
      <c r="AR67" s="78">
        <f t="shared" ref="AR67" si="470">+AR65+AR66</f>
        <v>15.5</v>
      </c>
      <c r="AS67" s="78">
        <f t="shared" ref="AS67" si="471">+AS65+AS66</f>
        <v>5.63</v>
      </c>
      <c r="AT67" s="78">
        <f t="shared" ref="AT67" si="472">+AT65+AT66</f>
        <v>11.25</v>
      </c>
      <c r="AU67" s="78">
        <f t="shared" ref="AU67" si="473">+AU65+AU66</f>
        <v>0.55000000000000004</v>
      </c>
      <c r="AV67" s="78">
        <f t="shared" ref="AV67:BG67" si="474">+AV65+AV66</f>
        <v>12.5</v>
      </c>
      <c r="AW67" s="78">
        <f t="shared" si="474"/>
        <v>1.41</v>
      </c>
      <c r="AX67" s="78">
        <f t="shared" si="474"/>
        <v>0</v>
      </c>
      <c r="AY67" s="78">
        <f t="shared" si="474"/>
        <v>0</v>
      </c>
      <c r="AZ67" s="78">
        <f t="shared" si="474"/>
        <v>333.71000000000004</v>
      </c>
      <c r="BA67" s="78">
        <f t="shared" si="474"/>
        <v>84.97999999999999</v>
      </c>
      <c r="BB67" s="78">
        <f t="shared" si="474"/>
        <v>36.75</v>
      </c>
      <c r="BC67" s="78">
        <f t="shared" si="474"/>
        <v>12.2</v>
      </c>
      <c r="BD67" s="78">
        <f t="shared" si="474"/>
        <v>31.4</v>
      </c>
      <c r="BE67" s="78">
        <f t="shared" si="474"/>
        <v>1.05</v>
      </c>
      <c r="BF67" s="78">
        <f t="shared" si="474"/>
        <v>37.5</v>
      </c>
      <c r="BG67" s="78">
        <f t="shared" si="474"/>
        <v>3.66</v>
      </c>
      <c r="BH67" s="78"/>
      <c r="BI67" s="78"/>
      <c r="BJ67" s="78"/>
      <c r="BK67" s="78"/>
    </row>
    <row r="68" spans="1:68" ht="20.100000000000001" customHeight="1" x14ac:dyDescent="0.35">
      <c r="A68" s="15">
        <v>47</v>
      </c>
      <c r="B68" s="16" t="s">
        <v>44</v>
      </c>
      <c r="C68" s="17">
        <v>315</v>
      </c>
      <c r="D68" s="26">
        <v>169</v>
      </c>
      <c r="E68" s="19"/>
      <c r="F68" s="64">
        <v>15</v>
      </c>
      <c r="G68" s="64">
        <v>20</v>
      </c>
      <c r="H68" s="19"/>
      <c r="I68" s="26">
        <v>25</v>
      </c>
      <c r="J68" s="26">
        <v>0</v>
      </c>
      <c r="K68" s="19"/>
      <c r="L68" s="65">
        <v>75</v>
      </c>
      <c r="M68" s="65">
        <v>0</v>
      </c>
      <c r="N68" s="19">
        <f t="shared" si="5"/>
        <v>75</v>
      </c>
      <c r="O68" s="19">
        <f>C68+F68+I68+L68</f>
        <v>430</v>
      </c>
      <c r="P68" s="20">
        <f>D68+G68+J68+M68</f>
        <v>189</v>
      </c>
      <c r="Q68" s="19">
        <f t="shared" si="1"/>
        <v>619</v>
      </c>
      <c r="R68" s="17">
        <v>90</v>
      </c>
      <c r="S68" s="17">
        <v>15</v>
      </c>
      <c r="T68" s="17">
        <v>3.75</v>
      </c>
      <c r="U68" s="17">
        <v>0</v>
      </c>
      <c r="V68" s="17">
        <v>6.25</v>
      </c>
      <c r="W68" s="17">
        <v>0</v>
      </c>
      <c r="X68" s="17">
        <v>18.75</v>
      </c>
      <c r="Y68" s="113">
        <v>0</v>
      </c>
      <c r="Z68" s="127">
        <v>44.949999999999989</v>
      </c>
      <c r="AA68" s="127">
        <v>13.159999999999997</v>
      </c>
      <c r="AB68" s="127">
        <v>1.4900000000000002</v>
      </c>
      <c r="AC68" s="127">
        <v>4.18</v>
      </c>
      <c r="AD68" s="127">
        <v>4</v>
      </c>
      <c r="AE68" s="127">
        <v>0</v>
      </c>
      <c r="AF68" s="127"/>
      <c r="AG68" s="127"/>
      <c r="AH68" s="127">
        <v>22.52</v>
      </c>
      <c r="AI68" s="127">
        <v>22.49</v>
      </c>
      <c r="AJ68" s="127">
        <v>2.2599999999999998</v>
      </c>
      <c r="AK68" s="127">
        <v>2.39</v>
      </c>
      <c r="AL68" s="127">
        <v>2.25</v>
      </c>
      <c r="AM68" s="127">
        <v>0</v>
      </c>
      <c r="AN68" s="127">
        <v>11.25</v>
      </c>
      <c r="AO68" s="127">
        <v>0</v>
      </c>
      <c r="AP68" s="127">
        <v>78.75</v>
      </c>
      <c r="AQ68" s="127">
        <v>47.44</v>
      </c>
      <c r="AR68" s="127">
        <v>3.75</v>
      </c>
      <c r="AS68" s="127">
        <v>5.63</v>
      </c>
      <c r="AT68" s="127">
        <v>6.25</v>
      </c>
      <c r="AU68" s="127">
        <v>0</v>
      </c>
      <c r="AV68" s="127">
        <v>18.75</v>
      </c>
      <c r="AW68" s="127">
        <v>0</v>
      </c>
      <c r="AX68" s="127"/>
      <c r="AY68" s="127"/>
      <c r="AZ68" s="127">
        <f t="shared" si="2"/>
        <v>236.21999999999997</v>
      </c>
      <c r="BA68" s="127">
        <f t="shared" si="355"/>
        <v>98.089999999999989</v>
      </c>
      <c r="BB68" s="127">
        <f t="shared" si="82"/>
        <v>11.25</v>
      </c>
      <c r="BC68" s="127">
        <f t="shared" si="82"/>
        <v>12.2</v>
      </c>
      <c r="BD68" s="127">
        <f t="shared" si="82"/>
        <v>18.75</v>
      </c>
      <c r="BE68" s="127">
        <f t="shared" si="444"/>
        <v>0</v>
      </c>
      <c r="BF68" s="127">
        <f t="shared" si="83"/>
        <v>48.75</v>
      </c>
      <c r="BG68" s="127">
        <f t="shared" si="83"/>
        <v>0</v>
      </c>
      <c r="BH68" s="2"/>
      <c r="BI68" s="2"/>
      <c r="BJ68" s="2"/>
      <c r="BK68" s="2"/>
    </row>
    <row r="69" spans="1:68" ht="20.100000000000001" customHeight="1" x14ac:dyDescent="0.35">
      <c r="A69" s="15">
        <v>48</v>
      </c>
      <c r="B69" s="16" t="s">
        <v>45</v>
      </c>
      <c r="C69" s="17">
        <v>386</v>
      </c>
      <c r="D69" s="26">
        <v>0</v>
      </c>
      <c r="E69" s="19"/>
      <c r="F69" s="64">
        <v>30</v>
      </c>
      <c r="G69" s="64">
        <v>10</v>
      </c>
      <c r="H69" s="19"/>
      <c r="I69" s="26">
        <v>50</v>
      </c>
      <c r="J69" s="26">
        <v>0</v>
      </c>
      <c r="K69" s="19"/>
      <c r="L69" s="36">
        <v>0</v>
      </c>
      <c r="M69" s="36">
        <v>0</v>
      </c>
      <c r="N69" s="19">
        <f t="shared" si="5"/>
        <v>0</v>
      </c>
      <c r="O69" s="19">
        <f>C69+F69+I69+L69</f>
        <v>466</v>
      </c>
      <c r="P69" s="20">
        <f>D69+G69+J69+M69</f>
        <v>10</v>
      </c>
      <c r="Q69" s="19">
        <f t="shared" si="1"/>
        <v>476</v>
      </c>
      <c r="R69" s="17">
        <v>90</v>
      </c>
      <c r="S69" s="17">
        <v>0</v>
      </c>
      <c r="T69" s="17">
        <v>6.25</v>
      </c>
      <c r="U69" s="17">
        <v>0</v>
      </c>
      <c r="V69" s="17">
        <v>10</v>
      </c>
      <c r="W69" s="17">
        <v>0</v>
      </c>
      <c r="X69" s="17">
        <v>0</v>
      </c>
      <c r="Y69" s="113">
        <v>0</v>
      </c>
      <c r="Z69" s="127">
        <v>75.360000000000014</v>
      </c>
      <c r="AA69" s="127">
        <v>0</v>
      </c>
      <c r="AB69" s="127">
        <v>2.2300000000000004</v>
      </c>
      <c r="AC69" s="127">
        <v>2.09</v>
      </c>
      <c r="AD69" s="127">
        <v>8.5</v>
      </c>
      <c r="AE69" s="127">
        <v>0</v>
      </c>
      <c r="AF69" s="127"/>
      <c r="AG69" s="127"/>
      <c r="AH69" s="127">
        <v>27.6</v>
      </c>
      <c r="AI69" s="127">
        <v>0</v>
      </c>
      <c r="AJ69" s="127">
        <v>4.5199999999999996</v>
      </c>
      <c r="AK69" s="127">
        <v>1.19</v>
      </c>
      <c r="AL69" s="127">
        <v>4.5</v>
      </c>
      <c r="AM69" s="127">
        <v>0</v>
      </c>
      <c r="AN69" s="127">
        <v>0</v>
      </c>
      <c r="AO69" s="127">
        <v>0</v>
      </c>
      <c r="AP69" s="127">
        <v>96.5</v>
      </c>
      <c r="AQ69" s="127">
        <v>0</v>
      </c>
      <c r="AR69" s="127">
        <v>7.5</v>
      </c>
      <c r="AS69" s="127">
        <v>2.82</v>
      </c>
      <c r="AT69" s="127">
        <v>12.5</v>
      </c>
      <c r="AU69" s="127">
        <v>0</v>
      </c>
      <c r="AV69" s="127">
        <v>0</v>
      </c>
      <c r="AW69" s="127">
        <v>0</v>
      </c>
      <c r="AX69" s="127"/>
      <c r="AY69" s="127"/>
      <c r="AZ69" s="127">
        <f t="shared" si="2"/>
        <v>289.46000000000004</v>
      </c>
      <c r="BA69" s="127">
        <f t="shared" si="355"/>
        <v>0</v>
      </c>
      <c r="BB69" s="127">
        <f t="shared" si="82"/>
        <v>20.5</v>
      </c>
      <c r="BC69" s="127">
        <f t="shared" si="82"/>
        <v>6.1</v>
      </c>
      <c r="BD69" s="127">
        <f t="shared" si="82"/>
        <v>35.5</v>
      </c>
      <c r="BE69" s="127">
        <f t="shared" si="444"/>
        <v>0</v>
      </c>
      <c r="BF69" s="127">
        <f t="shared" si="83"/>
        <v>0</v>
      </c>
      <c r="BG69" s="127">
        <f t="shared" si="83"/>
        <v>0</v>
      </c>
      <c r="BH69" s="2"/>
      <c r="BI69" s="2"/>
      <c r="BJ69" s="2"/>
      <c r="BK69" s="2"/>
    </row>
    <row r="70" spans="1:68" s="6" customFormat="1" ht="20.100000000000001" customHeight="1" x14ac:dyDescent="0.3">
      <c r="A70" s="76"/>
      <c r="B70" s="77" t="s">
        <v>44</v>
      </c>
      <c r="C70" s="78">
        <f>+C68+C69</f>
        <v>701</v>
      </c>
      <c r="D70" s="78">
        <f t="shared" ref="D70:Y70" si="475">+D68+D69</f>
        <v>169</v>
      </c>
      <c r="E70" s="78">
        <f t="shared" si="475"/>
        <v>0</v>
      </c>
      <c r="F70" s="78">
        <f t="shared" si="475"/>
        <v>45</v>
      </c>
      <c r="G70" s="78">
        <f t="shared" si="475"/>
        <v>30</v>
      </c>
      <c r="H70" s="78">
        <f t="shared" si="475"/>
        <v>0</v>
      </c>
      <c r="I70" s="78">
        <f t="shared" si="475"/>
        <v>75</v>
      </c>
      <c r="J70" s="78">
        <f t="shared" si="475"/>
        <v>0</v>
      </c>
      <c r="K70" s="78">
        <f t="shared" si="475"/>
        <v>0</v>
      </c>
      <c r="L70" s="78">
        <f t="shared" si="475"/>
        <v>75</v>
      </c>
      <c r="M70" s="78">
        <f t="shared" si="475"/>
        <v>0</v>
      </c>
      <c r="N70" s="78">
        <f t="shared" si="475"/>
        <v>75</v>
      </c>
      <c r="O70" s="78">
        <f t="shared" si="475"/>
        <v>896</v>
      </c>
      <c r="P70" s="78">
        <f t="shared" si="475"/>
        <v>199</v>
      </c>
      <c r="Q70" s="78">
        <f t="shared" si="475"/>
        <v>1095</v>
      </c>
      <c r="R70" s="78">
        <f t="shared" si="475"/>
        <v>180</v>
      </c>
      <c r="S70" s="78">
        <f t="shared" si="475"/>
        <v>15</v>
      </c>
      <c r="T70" s="78">
        <f t="shared" si="475"/>
        <v>10</v>
      </c>
      <c r="U70" s="78">
        <f t="shared" si="475"/>
        <v>0</v>
      </c>
      <c r="V70" s="78">
        <f t="shared" si="475"/>
        <v>16.25</v>
      </c>
      <c r="W70" s="78">
        <f t="shared" si="475"/>
        <v>0</v>
      </c>
      <c r="X70" s="78">
        <f t="shared" si="475"/>
        <v>18.75</v>
      </c>
      <c r="Y70" s="114">
        <f t="shared" si="475"/>
        <v>0</v>
      </c>
      <c r="Z70" s="78">
        <f t="shared" ref="Z70" si="476">+Z68+Z69</f>
        <v>120.31</v>
      </c>
      <c r="AA70" s="78">
        <f t="shared" ref="AA70" si="477">+AA68+AA69</f>
        <v>13.159999999999997</v>
      </c>
      <c r="AB70" s="78">
        <f t="shared" ref="AB70" si="478">+AB68+AB69</f>
        <v>3.7200000000000006</v>
      </c>
      <c r="AC70" s="78">
        <f t="shared" ref="AC70" si="479">+AC68+AC69</f>
        <v>6.27</v>
      </c>
      <c r="AD70" s="78">
        <f t="shared" ref="AD70" si="480">+AD68+AD69</f>
        <v>12.5</v>
      </c>
      <c r="AE70" s="78">
        <f t="shared" ref="AE70" si="481">+AE68+AE69</f>
        <v>0</v>
      </c>
      <c r="AF70" s="78">
        <f t="shared" ref="AF70" si="482">+AF68+AF69</f>
        <v>0</v>
      </c>
      <c r="AG70" s="78">
        <f t="shared" ref="AG70" si="483">+AG68+AG69</f>
        <v>0</v>
      </c>
      <c r="AH70" s="78">
        <f t="shared" ref="AH70" si="484">+AH68+AH69</f>
        <v>50.120000000000005</v>
      </c>
      <c r="AI70" s="78">
        <f t="shared" ref="AI70" si="485">+AI68+AI69</f>
        <v>22.49</v>
      </c>
      <c r="AJ70" s="78">
        <f t="shared" ref="AJ70" si="486">+AJ68+AJ69</f>
        <v>6.7799999999999994</v>
      </c>
      <c r="AK70" s="78">
        <f t="shared" ref="AK70" si="487">+AK68+AK69</f>
        <v>3.58</v>
      </c>
      <c r="AL70" s="78">
        <f t="shared" ref="AL70" si="488">+AL68+AL69</f>
        <v>6.75</v>
      </c>
      <c r="AM70" s="78">
        <f t="shared" ref="AM70" si="489">+AM68+AM69</f>
        <v>0</v>
      </c>
      <c r="AN70" s="78">
        <f t="shared" ref="AN70" si="490">+AN68+AN69</f>
        <v>11.25</v>
      </c>
      <c r="AO70" s="78">
        <f t="shared" ref="AO70" si="491">+AO68+AO69</f>
        <v>0</v>
      </c>
      <c r="AP70" s="78">
        <f t="shared" ref="AP70" si="492">+AP68+AP69</f>
        <v>175.25</v>
      </c>
      <c r="AQ70" s="78">
        <f t="shared" ref="AQ70" si="493">+AQ68+AQ69</f>
        <v>47.44</v>
      </c>
      <c r="AR70" s="78">
        <f t="shared" ref="AR70" si="494">+AR68+AR69</f>
        <v>11.25</v>
      </c>
      <c r="AS70" s="78">
        <f t="shared" ref="AS70" si="495">+AS68+AS69</f>
        <v>8.4499999999999993</v>
      </c>
      <c r="AT70" s="78">
        <f t="shared" ref="AT70" si="496">+AT68+AT69</f>
        <v>18.75</v>
      </c>
      <c r="AU70" s="78">
        <f t="shared" ref="AU70" si="497">+AU68+AU69</f>
        <v>0</v>
      </c>
      <c r="AV70" s="78">
        <f t="shared" ref="AV70" si="498">+AV68+AV69</f>
        <v>18.75</v>
      </c>
      <c r="AW70" s="78">
        <f t="shared" ref="AW70:BG70" si="499">+AW68+AW69</f>
        <v>0</v>
      </c>
      <c r="AX70" s="78">
        <f t="shared" si="499"/>
        <v>0</v>
      </c>
      <c r="AY70" s="78">
        <f t="shared" si="499"/>
        <v>0</v>
      </c>
      <c r="AZ70" s="78">
        <f t="shared" si="499"/>
        <v>525.68000000000006</v>
      </c>
      <c r="BA70" s="78">
        <f t="shared" si="499"/>
        <v>98.089999999999989</v>
      </c>
      <c r="BB70" s="78">
        <f t="shared" si="499"/>
        <v>31.75</v>
      </c>
      <c r="BC70" s="78">
        <f t="shared" si="499"/>
        <v>18.299999999999997</v>
      </c>
      <c r="BD70" s="78">
        <f t="shared" si="499"/>
        <v>54.25</v>
      </c>
      <c r="BE70" s="78">
        <f t="shared" si="499"/>
        <v>0</v>
      </c>
      <c r="BF70" s="78">
        <f t="shared" si="499"/>
        <v>48.75</v>
      </c>
      <c r="BG70" s="78">
        <f t="shared" si="499"/>
        <v>0</v>
      </c>
      <c r="BH70" s="78"/>
      <c r="BI70" s="78"/>
      <c r="BJ70" s="78"/>
      <c r="BK70" s="78"/>
      <c r="BL70" s="78">
        <f t="shared" ref="BL70:BP70" si="500">+BL68+BL69</f>
        <v>0</v>
      </c>
      <c r="BM70" s="78">
        <f t="shared" si="500"/>
        <v>0</v>
      </c>
      <c r="BN70" s="78">
        <f t="shared" si="500"/>
        <v>0</v>
      </c>
      <c r="BO70" s="78">
        <f t="shared" si="500"/>
        <v>0</v>
      </c>
      <c r="BP70" s="78">
        <f t="shared" si="500"/>
        <v>0</v>
      </c>
    </row>
    <row r="71" spans="1:68" ht="20.100000000000001" customHeight="1" x14ac:dyDescent="0.35">
      <c r="A71" s="15">
        <v>50</v>
      </c>
      <c r="B71" s="16" t="s">
        <v>227</v>
      </c>
      <c r="C71" s="17">
        <v>505</v>
      </c>
      <c r="D71" s="26">
        <v>1375</v>
      </c>
      <c r="E71" s="19"/>
      <c r="F71" s="67">
        <v>40</v>
      </c>
      <c r="G71" s="68">
        <v>5</v>
      </c>
      <c r="H71" s="19"/>
      <c r="I71" s="26">
        <v>40</v>
      </c>
      <c r="J71" s="26">
        <v>0</v>
      </c>
      <c r="K71" s="19"/>
      <c r="L71" s="36">
        <v>44</v>
      </c>
      <c r="M71" s="36">
        <v>0</v>
      </c>
      <c r="N71" s="19">
        <f t="shared" si="5"/>
        <v>44</v>
      </c>
      <c r="O71" s="19">
        <f>C71+F71+I71+L71</f>
        <v>629</v>
      </c>
      <c r="P71" s="20">
        <f>D71+G71+J71+M71</f>
        <v>1380</v>
      </c>
      <c r="Q71" s="19">
        <f t="shared" si="1"/>
        <v>2009</v>
      </c>
      <c r="R71" s="17">
        <v>130</v>
      </c>
      <c r="S71" s="17">
        <v>258.75</v>
      </c>
      <c r="T71" s="17">
        <v>10</v>
      </c>
      <c r="U71" s="17">
        <v>0</v>
      </c>
      <c r="V71" s="17">
        <v>7.5</v>
      </c>
      <c r="W71" s="17">
        <v>0</v>
      </c>
      <c r="X71" s="17">
        <v>30</v>
      </c>
      <c r="Y71" s="113">
        <v>0</v>
      </c>
      <c r="Z71" s="127">
        <v>86.34</v>
      </c>
      <c r="AA71" s="127">
        <v>11.029999999999973</v>
      </c>
      <c r="AB71" s="127">
        <v>1.9800000000000004</v>
      </c>
      <c r="AC71" s="127">
        <v>1.05</v>
      </c>
      <c r="AD71" s="127">
        <v>5.8999999999999986</v>
      </c>
      <c r="AE71" s="127">
        <v>0</v>
      </c>
      <c r="AF71" s="127"/>
      <c r="AG71" s="127"/>
      <c r="AH71" s="127">
        <v>36.11</v>
      </c>
      <c r="AI71" s="127">
        <v>183.01</v>
      </c>
      <c r="AJ71" s="127">
        <v>6.02</v>
      </c>
      <c r="AK71" s="127">
        <v>0.6</v>
      </c>
      <c r="AL71" s="127">
        <v>3.6</v>
      </c>
      <c r="AM71" s="127">
        <v>0</v>
      </c>
      <c r="AN71" s="127">
        <v>0</v>
      </c>
      <c r="AO71" s="127">
        <v>0</v>
      </c>
      <c r="AP71" s="127">
        <v>126.25</v>
      </c>
      <c r="AQ71" s="127">
        <v>385.96</v>
      </c>
      <c r="AR71" s="127">
        <v>10</v>
      </c>
      <c r="AS71" s="127">
        <v>1.41</v>
      </c>
      <c r="AT71" s="127">
        <v>10</v>
      </c>
      <c r="AU71" s="127">
        <v>0</v>
      </c>
      <c r="AV71" s="127">
        <v>11</v>
      </c>
      <c r="AW71" s="127">
        <v>0</v>
      </c>
      <c r="AX71" s="127"/>
      <c r="AY71" s="127"/>
      <c r="AZ71" s="127">
        <f t="shared" si="2"/>
        <v>378.70000000000005</v>
      </c>
      <c r="BA71" s="127">
        <f t="shared" si="355"/>
        <v>838.75</v>
      </c>
      <c r="BB71" s="127">
        <f t="shared" si="82"/>
        <v>28</v>
      </c>
      <c r="BC71" s="127">
        <f t="shared" si="82"/>
        <v>3.0599999999999996</v>
      </c>
      <c r="BD71" s="127">
        <f t="shared" si="82"/>
        <v>27</v>
      </c>
      <c r="BE71" s="127">
        <f t="shared" si="444"/>
        <v>0</v>
      </c>
      <c r="BF71" s="127">
        <f t="shared" si="83"/>
        <v>41</v>
      </c>
      <c r="BG71" s="127">
        <f t="shared" si="83"/>
        <v>0</v>
      </c>
      <c r="BH71" s="2"/>
      <c r="BI71" s="2"/>
      <c r="BJ71" s="2"/>
      <c r="BK71" s="2"/>
    </row>
    <row r="72" spans="1:68" ht="20.100000000000001" customHeight="1" x14ac:dyDescent="0.35">
      <c r="A72" s="15">
        <v>51</v>
      </c>
      <c r="B72" s="16" t="s">
        <v>46</v>
      </c>
      <c r="C72" s="17">
        <v>359</v>
      </c>
      <c r="D72" s="26">
        <v>40</v>
      </c>
      <c r="E72" s="19"/>
      <c r="F72" s="67">
        <v>12</v>
      </c>
      <c r="G72" s="68">
        <v>0</v>
      </c>
      <c r="H72" s="19"/>
      <c r="I72" s="36">
        <v>53</v>
      </c>
      <c r="J72" s="26">
        <v>0</v>
      </c>
      <c r="K72" s="19"/>
      <c r="L72" s="36">
        <v>0</v>
      </c>
      <c r="M72" s="36">
        <v>0</v>
      </c>
      <c r="N72" s="19">
        <f t="shared" si="5"/>
        <v>0</v>
      </c>
      <c r="O72" s="19">
        <f>C72+F72+I72+L72</f>
        <v>424</v>
      </c>
      <c r="P72" s="20">
        <f>D72+G72+J72+M72</f>
        <v>40</v>
      </c>
      <c r="Q72" s="19">
        <f t="shared" si="1"/>
        <v>464</v>
      </c>
      <c r="R72" s="17">
        <v>87.5</v>
      </c>
      <c r="S72" s="17">
        <v>0</v>
      </c>
      <c r="T72" s="17">
        <v>3</v>
      </c>
      <c r="U72" s="17">
        <v>0</v>
      </c>
      <c r="V72" s="17">
        <v>20</v>
      </c>
      <c r="W72" s="17">
        <v>0</v>
      </c>
      <c r="X72" s="17">
        <v>0</v>
      </c>
      <c r="Y72" s="113">
        <v>0</v>
      </c>
      <c r="Z72" s="127">
        <v>66.300000000000011</v>
      </c>
      <c r="AA72" s="127">
        <v>7.85</v>
      </c>
      <c r="AB72" s="127">
        <v>1.1900000000000004</v>
      </c>
      <c r="AC72" s="127">
        <v>0</v>
      </c>
      <c r="AD72" s="127">
        <v>1.7300000000000004</v>
      </c>
      <c r="AE72" s="127">
        <v>0</v>
      </c>
      <c r="AF72" s="127"/>
      <c r="AG72" s="127"/>
      <c r="AH72" s="127">
        <v>25.67</v>
      </c>
      <c r="AI72" s="127">
        <v>5.32</v>
      </c>
      <c r="AJ72" s="127">
        <v>1.81</v>
      </c>
      <c r="AK72" s="127">
        <v>0</v>
      </c>
      <c r="AL72" s="127">
        <v>4.7699999999999996</v>
      </c>
      <c r="AM72" s="127">
        <v>0</v>
      </c>
      <c r="AN72" s="127">
        <v>0</v>
      </c>
      <c r="AO72" s="127">
        <v>0</v>
      </c>
      <c r="AP72" s="127">
        <v>89.75</v>
      </c>
      <c r="AQ72" s="127">
        <v>11.23</v>
      </c>
      <c r="AR72" s="127">
        <v>3</v>
      </c>
      <c r="AS72" s="127">
        <v>0</v>
      </c>
      <c r="AT72" s="127">
        <v>13.25</v>
      </c>
      <c r="AU72" s="127">
        <v>0</v>
      </c>
      <c r="AV72" s="127">
        <v>0</v>
      </c>
      <c r="AW72" s="127">
        <v>0</v>
      </c>
      <c r="AX72" s="127"/>
      <c r="AY72" s="127"/>
      <c r="AZ72" s="127">
        <f t="shared" ref="AZ72:AZ135" si="501">+AP72+AH72+Z72+R72+AX72</f>
        <v>269.22000000000003</v>
      </c>
      <c r="BA72" s="127">
        <f t="shared" si="355"/>
        <v>24.4</v>
      </c>
      <c r="BB72" s="127">
        <f t="shared" si="82"/>
        <v>9</v>
      </c>
      <c r="BC72" s="127">
        <f t="shared" si="82"/>
        <v>0</v>
      </c>
      <c r="BD72" s="127">
        <f t="shared" si="82"/>
        <v>39.75</v>
      </c>
      <c r="BE72" s="127">
        <f t="shared" si="444"/>
        <v>0</v>
      </c>
      <c r="BF72" s="127">
        <f t="shared" si="83"/>
        <v>0</v>
      </c>
      <c r="BG72" s="127">
        <f t="shared" si="83"/>
        <v>0</v>
      </c>
      <c r="BH72" s="2"/>
      <c r="BI72" s="2"/>
      <c r="BJ72" s="2"/>
      <c r="BK72" s="2"/>
    </row>
    <row r="73" spans="1:68" s="6" customFormat="1" ht="20.100000000000001" customHeight="1" x14ac:dyDescent="0.3">
      <c r="A73" s="76"/>
      <c r="B73" s="77" t="s">
        <v>227</v>
      </c>
      <c r="C73" s="78">
        <f>+C71+C72</f>
        <v>864</v>
      </c>
      <c r="D73" s="78">
        <f t="shared" ref="D73:V73" si="502">+D71+D72</f>
        <v>1415</v>
      </c>
      <c r="E73" s="78">
        <f t="shared" si="502"/>
        <v>0</v>
      </c>
      <c r="F73" s="78">
        <f t="shared" si="502"/>
        <v>52</v>
      </c>
      <c r="G73" s="78">
        <f t="shared" si="502"/>
        <v>5</v>
      </c>
      <c r="H73" s="78">
        <f t="shared" si="502"/>
        <v>0</v>
      </c>
      <c r="I73" s="78">
        <f t="shared" si="502"/>
        <v>93</v>
      </c>
      <c r="J73" s="78">
        <f t="shared" si="502"/>
        <v>0</v>
      </c>
      <c r="K73" s="78">
        <f t="shared" si="502"/>
        <v>0</v>
      </c>
      <c r="L73" s="78">
        <f t="shared" si="502"/>
        <v>44</v>
      </c>
      <c r="M73" s="78">
        <f t="shared" si="502"/>
        <v>0</v>
      </c>
      <c r="N73" s="78">
        <f t="shared" si="502"/>
        <v>44</v>
      </c>
      <c r="O73" s="78">
        <f t="shared" si="502"/>
        <v>1053</v>
      </c>
      <c r="P73" s="78">
        <f t="shared" si="502"/>
        <v>1420</v>
      </c>
      <c r="Q73" s="78">
        <f t="shared" si="502"/>
        <v>2473</v>
      </c>
      <c r="R73" s="78">
        <f t="shared" si="502"/>
        <v>217.5</v>
      </c>
      <c r="S73" s="78">
        <f t="shared" si="502"/>
        <v>258.75</v>
      </c>
      <c r="T73" s="78">
        <f t="shared" si="502"/>
        <v>13</v>
      </c>
      <c r="U73" s="78">
        <f t="shared" si="502"/>
        <v>0</v>
      </c>
      <c r="V73" s="78">
        <f t="shared" si="502"/>
        <v>27.5</v>
      </c>
      <c r="W73" s="78">
        <f t="shared" ref="W73" si="503">+W71+W72</f>
        <v>0</v>
      </c>
      <c r="X73" s="78">
        <f t="shared" ref="X73" si="504">+X71+X72</f>
        <v>30</v>
      </c>
      <c r="Y73" s="114">
        <f t="shared" ref="Y73" si="505">+Y71+Y72</f>
        <v>0</v>
      </c>
      <c r="Z73" s="78">
        <f t="shared" ref="Z73" si="506">+Z71+Z72</f>
        <v>152.64000000000001</v>
      </c>
      <c r="AA73" s="78">
        <f t="shared" ref="AA73" si="507">+AA71+AA72</f>
        <v>18.879999999999974</v>
      </c>
      <c r="AB73" s="78">
        <f t="shared" ref="AB73" si="508">+AB71+AB72</f>
        <v>3.1700000000000008</v>
      </c>
      <c r="AC73" s="78">
        <f t="shared" ref="AC73" si="509">+AC71+AC72</f>
        <v>1.05</v>
      </c>
      <c r="AD73" s="78">
        <f t="shared" ref="AD73" si="510">+AD71+AD72</f>
        <v>7.629999999999999</v>
      </c>
      <c r="AE73" s="78">
        <f t="shared" ref="AE73" si="511">+AE71+AE72</f>
        <v>0</v>
      </c>
      <c r="AF73" s="78">
        <f t="shared" ref="AF73" si="512">+AF71+AF72</f>
        <v>0</v>
      </c>
      <c r="AG73" s="78">
        <f t="shared" ref="AG73" si="513">+AG71+AG72</f>
        <v>0</v>
      </c>
      <c r="AH73" s="78">
        <f t="shared" ref="AH73" si="514">+AH71+AH72</f>
        <v>61.78</v>
      </c>
      <c r="AI73" s="78">
        <f t="shared" ref="AI73" si="515">+AI71+AI72</f>
        <v>188.32999999999998</v>
      </c>
      <c r="AJ73" s="78">
        <f t="shared" ref="AJ73" si="516">+AJ71+AJ72</f>
        <v>7.83</v>
      </c>
      <c r="AK73" s="78">
        <f t="shared" ref="AK73" si="517">+AK71+AK72</f>
        <v>0.6</v>
      </c>
      <c r="AL73" s="78">
        <f t="shared" ref="AL73" si="518">+AL71+AL72</f>
        <v>8.3699999999999992</v>
      </c>
      <c r="AM73" s="78">
        <f t="shared" ref="AM73" si="519">+AM71+AM72</f>
        <v>0</v>
      </c>
      <c r="AN73" s="78">
        <f t="shared" ref="AN73" si="520">+AN71+AN72</f>
        <v>0</v>
      </c>
      <c r="AO73" s="78">
        <f t="shared" ref="AO73" si="521">+AO71+AO72</f>
        <v>0</v>
      </c>
      <c r="AP73" s="78">
        <f t="shared" ref="AP73" si="522">+AP71+AP72</f>
        <v>216</v>
      </c>
      <c r="AQ73" s="78">
        <f t="shared" ref="AQ73" si="523">+AQ71+AQ72</f>
        <v>397.19</v>
      </c>
      <c r="AR73" s="78">
        <f t="shared" ref="AR73" si="524">+AR71+AR72</f>
        <v>13</v>
      </c>
      <c r="AS73" s="78">
        <f t="shared" ref="AS73" si="525">+AS71+AS72</f>
        <v>1.41</v>
      </c>
      <c r="AT73" s="78">
        <f t="shared" ref="AT73" si="526">+AT71+AT72</f>
        <v>23.25</v>
      </c>
      <c r="AU73" s="78">
        <f t="shared" ref="AU73" si="527">+AU71+AU72</f>
        <v>0</v>
      </c>
      <c r="AV73" s="78">
        <f t="shared" ref="AV73:BG73" si="528">+AV71+AV72</f>
        <v>11</v>
      </c>
      <c r="AW73" s="78">
        <f t="shared" si="528"/>
        <v>0</v>
      </c>
      <c r="AX73" s="78">
        <f t="shared" si="528"/>
        <v>0</v>
      </c>
      <c r="AY73" s="78">
        <f t="shared" si="528"/>
        <v>0</v>
      </c>
      <c r="AZ73" s="78">
        <f t="shared" si="528"/>
        <v>647.92000000000007</v>
      </c>
      <c r="BA73" s="78">
        <f t="shared" si="528"/>
        <v>863.15</v>
      </c>
      <c r="BB73" s="78">
        <f t="shared" si="528"/>
        <v>37</v>
      </c>
      <c r="BC73" s="78">
        <f t="shared" si="528"/>
        <v>3.0599999999999996</v>
      </c>
      <c r="BD73" s="78">
        <f t="shared" si="528"/>
        <v>66.75</v>
      </c>
      <c r="BE73" s="78">
        <f t="shared" si="528"/>
        <v>0</v>
      </c>
      <c r="BF73" s="78">
        <f t="shared" si="528"/>
        <v>41</v>
      </c>
      <c r="BG73" s="78">
        <f t="shared" si="528"/>
        <v>0</v>
      </c>
      <c r="BH73" s="78"/>
      <c r="BI73" s="78"/>
      <c r="BJ73" s="78"/>
      <c r="BK73" s="78"/>
      <c r="BL73" s="78">
        <f t="shared" ref="BL73:BP73" si="529">+BL71+BL72</f>
        <v>0</v>
      </c>
      <c r="BM73" s="78">
        <f t="shared" si="529"/>
        <v>0</v>
      </c>
      <c r="BN73" s="78">
        <f t="shared" si="529"/>
        <v>0</v>
      </c>
      <c r="BO73" s="78">
        <f t="shared" si="529"/>
        <v>0</v>
      </c>
      <c r="BP73" s="78">
        <f t="shared" si="529"/>
        <v>0</v>
      </c>
    </row>
    <row r="74" spans="1:68" ht="20.100000000000001" customHeight="1" x14ac:dyDescent="0.35">
      <c r="A74" s="15">
        <v>52</v>
      </c>
      <c r="B74" s="16" t="s">
        <v>47</v>
      </c>
      <c r="C74" s="17">
        <v>662</v>
      </c>
      <c r="D74" s="26">
        <v>296</v>
      </c>
      <c r="E74" s="19"/>
      <c r="F74" s="67">
        <v>23</v>
      </c>
      <c r="G74" s="68">
        <v>20</v>
      </c>
      <c r="H74" s="19"/>
      <c r="I74" s="36">
        <v>30</v>
      </c>
      <c r="J74" s="26">
        <v>0</v>
      </c>
      <c r="K74" s="19"/>
      <c r="L74" s="36">
        <v>40</v>
      </c>
      <c r="M74" s="36">
        <v>34</v>
      </c>
      <c r="N74" s="19">
        <f t="shared" si="5"/>
        <v>74</v>
      </c>
      <c r="O74" s="19">
        <f t="shared" ref="O74:P76" si="530">C74+F74+I74+L74</f>
        <v>755</v>
      </c>
      <c r="P74" s="20">
        <f t="shared" si="530"/>
        <v>350</v>
      </c>
      <c r="Q74" s="19">
        <f t="shared" si="1"/>
        <v>1105</v>
      </c>
      <c r="R74" s="17">
        <v>137.5</v>
      </c>
      <c r="S74" s="17">
        <v>15</v>
      </c>
      <c r="T74" s="17">
        <v>7.5</v>
      </c>
      <c r="U74" s="17">
        <v>0</v>
      </c>
      <c r="V74" s="17">
        <v>11.25</v>
      </c>
      <c r="W74" s="17">
        <v>0</v>
      </c>
      <c r="X74" s="17">
        <v>27.5</v>
      </c>
      <c r="Y74" s="113">
        <v>4.5</v>
      </c>
      <c r="Z74" s="127">
        <v>146.10000000000002</v>
      </c>
      <c r="AA74" s="127">
        <v>18.079999999999998</v>
      </c>
      <c r="AB74" s="127">
        <v>0.53999999999999915</v>
      </c>
      <c r="AC74" s="127">
        <v>4.18</v>
      </c>
      <c r="AD74" s="127">
        <v>1.0500000000000007</v>
      </c>
      <c r="AE74" s="127">
        <v>0</v>
      </c>
      <c r="AF74" s="127"/>
      <c r="AG74" s="127"/>
      <c r="AH74" s="127">
        <v>47.33</v>
      </c>
      <c r="AI74" s="127">
        <v>39.4</v>
      </c>
      <c r="AJ74" s="127">
        <v>3.46</v>
      </c>
      <c r="AK74" s="127">
        <v>2.39</v>
      </c>
      <c r="AL74" s="127">
        <v>3.1500000000000004</v>
      </c>
      <c r="AM74" s="127">
        <v>0</v>
      </c>
      <c r="AN74" s="127">
        <v>0</v>
      </c>
      <c r="AO74" s="127">
        <v>6.06</v>
      </c>
      <c r="AP74" s="127">
        <v>165.5</v>
      </c>
      <c r="AQ74" s="127">
        <v>83.09</v>
      </c>
      <c r="AR74" s="127">
        <v>5.75</v>
      </c>
      <c r="AS74" s="127">
        <v>5.63</v>
      </c>
      <c r="AT74" s="127">
        <v>7.5</v>
      </c>
      <c r="AU74" s="127">
        <v>0</v>
      </c>
      <c r="AV74" s="127">
        <v>10</v>
      </c>
      <c r="AW74" s="127">
        <v>9.57</v>
      </c>
      <c r="AX74" s="127"/>
      <c r="AY74" s="127"/>
      <c r="AZ74" s="127">
        <f t="shared" si="501"/>
        <v>496.43</v>
      </c>
      <c r="BA74" s="127">
        <f t="shared" si="355"/>
        <v>155.57</v>
      </c>
      <c r="BB74" s="127">
        <f t="shared" ref="BB74:BE135" si="531">+AR74+AJ74+AB74+T74</f>
        <v>17.25</v>
      </c>
      <c r="BC74" s="127">
        <f t="shared" si="531"/>
        <v>12.2</v>
      </c>
      <c r="BD74" s="127">
        <f t="shared" si="531"/>
        <v>22.950000000000003</v>
      </c>
      <c r="BE74" s="127">
        <f t="shared" si="444"/>
        <v>0</v>
      </c>
      <c r="BF74" s="127">
        <f t="shared" si="83"/>
        <v>37.5</v>
      </c>
      <c r="BG74" s="127">
        <f t="shared" si="83"/>
        <v>20.13</v>
      </c>
      <c r="BH74" s="2"/>
      <c r="BI74" s="2"/>
      <c r="BJ74" s="2"/>
      <c r="BK74" s="2"/>
    </row>
    <row r="75" spans="1:68" ht="20.100000000000001" customHeight="1" x14ac:dyDescent="0.35">
      <c r="A75" s="15">
        <v>53</v>
      </c>
      <c r="B75" s="106" t="s">
        <v>267</v>
      </c>
      <c r="C75" s="17">
        <v>265.2</v>
      </c>
      <c r="D75" s="26">
        <v>64.8</v>
      </c>
      <c r="E75" s="19"/>
      <c r="F75" s="67">
        <v>27</v>
      </c>
      <c r="G75" s="68">
        <v>10</v>
      </c>
      <c r="H75" s="19"/>
      <c r="I75" s="36">
        <v>35</v>
      </c>
      <c r="J75" s="26">
        <v>3</v>
      </c>
      <c r="K75" s="19"/>
      <c r="L75" s="36">
        <v>0</v>
      </c>
      <c r="M75" s="36">
        <v>0</v>
      </c>
      <c r="N75" s="19">
        <f t="shared" si="5"/>
        <v>0</v>
      </c>
      <c r="O75" s="19">
        <f t="shared" si="530"/>
        <v>327.2</v>
      </c>
      <c r="P75" s="20">
        <f t="shared" si="530"/>
        <v>77.8</v>
      </c>
      <c r="Q75" s="19">
        <f t="shared" si="1"/>
        <v>405</v>
      </c>
      <c r="R75" s="95">
        <v>55</v>
      </c>
      <c r="S75" s="17">
        <v>0</v>
      </c>
      <c r="T75" s="17">
        <v>5</v>
      </c>
      <c r="U75" s="17">
        <v>0</v>
      </c>
      <c r="V75" s="17">
        <v>10</v>
      </c>
      <c r="W75" s="17">
        <v>3</v>
      </c>
      <c r="X75" s="17">
        <v>0</v>
      </c>
      <c r="Y75" s="113">
        <v>0</v>
      </c>
      <c r="Z75" s="127">
        <v>58.61</v>
      </c>
      <c r="AA75" s="127">
        <v>12.71</v>
      </c>
      <c r="AB75" s="127">
        <v>4.43</v>
      </c>
      <c r="AC75" s="127">
        <v>2.09</v>
      </c>
      <c r="AD75" s="127">
        <v>4.3499999999999996</v>
      </c>
      <c r="AE75" s="127">
        <v>0</v>
      </c>
      <c r="AF75" s="127"/>
      <c r="AG75" s="127"/>
      <c r="AH75" s="127">
        <v>18.96</v>
      </c>
      <c r="AI75" s="127">
        <v>8.6199999999999992</v>
      </c>
      <c r="AJ75" s="127">
        <v>4.07</v>
      </c>
      <c r="AK75" s="127">
        <v>1.19</v>
      </c>
      <c r="AL75" s="127">
        <v>3.15</v>
      </c>
      <c r="AM75" s="127">
        <v>0.46</v>
      </c>
      <c r="AN75" s="127">
        <v>0</v>
      </c>
      <c r="AO75" s="127">
        <v>0</v>
      </c>
      <c r="AP75" s="127">
        <v>66.3</v>
      </c>
      <c r="AQ75" s="127">
        <v>18.190000000000001</v>
      </c>
      <c r="AR75" s="127">
        <v>6.75</v>
      </c>
      <c r="AS75" s="127">
        <v>2.82</v>
      </c>
      <c r="AT75" s="127">
        <v>8.75</v>
      </c>
      <c r="AU75" s="127">
        <v>0</v>
      </c>
      <c r="AV75" s="127">
        <v>0</v>
      </c>
      <c r="AW75" s="127">
        <v>0</v>
      </c>
      <c r="AX75" s="127"/>
      <c r="AY75" s="127"/>
      <c r="AZ75" s="127">
        <f t="shared" si="501"/>
        <v>198.87</v>
      </c>
      <c r="BA75" s="127">
        <f t="shared" si="355"/>
        <v>39.520000000000003</v>
      </c>
      <c r="BB75" s="127">
        <f t="shared" si="531"/>
        <v>20.25</v>
      </c>
      <c r="BC75" s="127">
        <f t="shared" si="531"/>
        <v>6.1</v>
      </c>
      <c r="BD75" s="127">
        <f t="shared" si="531"/>
        <v>26.25</v>
      </c>
      <c r="BE75" s="127">
        <f t="shared" si="444"/>
        <v>3.46</v>
      </c>
      <c r="BF75" s="127">
        <f t="shared" si="83"/>
        <v>0</v>
      </c>
      <c r="BG75" s="127">
        <f t="shared" si="83"/>
        <v>0</v>
      </c>
      <c r="BH75" s="2"/>
      <c r="BI75" s="2"/>
      <c r="BJ75" s="2"/>
      <c r="BK75" s="2"/>
    </row>
    <row r="76" spans="1:68" ht="20.100000000000001" customHeight="1" x14ac:dyDescent="0.35">
      <c r="A76" s="15">
        <v>55</v>
      </c>
      <c r="B76" s="16" t="s">
        <v>48</v>
      </c>
      <c r="C76" s="25">
        <v>79</v>
      </c>
      <c r="D76" s="36">
        <v>50</v>
      </c>
      <c r="E76" s="19"/>
      <c r="F76" s="67">
        <v>5</v>
      </c>
      <c r="G76" s="68">
        <v>5</v>
      </c>
      <c r="H76" s="19"/>
      <c r="I76" s="36">
        <v>5</v>
      </c>
      <c r="J76" s="26">
        <v>0</v>
      </c>
      <c r="K76" s="19"/>
      <c r="L76" s="36">
        <v>0</v>
      </c>
      <c r="M76" s="36">
        <v>0</v>
      </c>
      <c r="N76" s="19">
        <f t="shared" si="5"/>
        <v>0</v>
      </c>
      <c r="O76" s="19">
        <f t="shared" si="530"/>
        <v>89</v>
      </c>
      <c r="P76" s="20">
        <f t="shared" si="530"/>
        <v>55</v>
      </c>
      <c r="Q76" s="19">
        <f t="shared" si="1"/>
        <v>144</v>
      </c>
      <c r="R76" s="17">
        <v>20</v>
      </c>
      <c r="S76" s="17">
        <v>0</v>
      </c>
      <c r="T76" s="17">
        <v>2.5</v>
      </c>
      <c r="U76" s="17">
        <v>0</v>
      </c>
      <c r="V76" s="17">
        <v>5</v>
      </c>
      <c r="W76" s="17">
        <v>0</v>
      </c>
      <c r="X76" s="17">
        <v>0</v>
      </c>
      <c r="Y76" s="113">
        <v>0</v>
      </c>
      <c r="Z76" s="127">
        <v>13.840000000000003</v>
      </c>
      <c r="AA76" s="127">
        <v>9.81</v>
      </c>
      <c r="AB76" s="127">
        <v>-0.75</v>
      </c>
      <c r="AC76" s="127">
        <v>1.05</v>
      </c>
      <c r="AD76" s="127">
        <v>-2.95</v>
      </c>
      <c r="AE76" s="127">
        <v>0</v>
      </c>
      <c r="AF76" s="127"/>
      <c r="AG76" s="127"/>
      <c r="AH76" s="127">
        <v>5.65</v>
      </c>
      <c r="AI76" s="127">
        <v>6.66</v>
      </c>
      <c r="AJ76" s="127">
        <v>0.75</v>
      </c>
      <c r="AK76" s="127">
        <v>0.6</v>
      </c>
      <c r="AL76" s="127">
        <v>0</v>
      </c>
      <c r="AM76" s="127">
        <v>0</v>
      </c>
      <c r="AN76" s="127">
        <v>0</v>
      </c>
      <c r="AO76" s="127">
        <v>0</v>
      </c>
      <c r="AP76" s="127">
        <v>19.75</v>
      </c>
      <c r="AQ76" s="127">
        <v>14.04</v>
      </c>
      <c r="AR76" s="127">
        <v>1.25</v>
      </c>
      <c r="AS76" s="127">
        <v>1.41</v>
      </c>
      <c r="AT76" s="127">
        <v>1.25</v>
      </c>
      <c r="AU76" s="127">
        <v>0</v>
      </c>
      <c r="AV76" s="127">
        <v>0</v>
      </c>
      <c r="AW76" s="127">
        <v>0</v>
      </c>
      <c r="AX76" s="127"/>
      <c r="AY76" s="127"/>
      <c r="AZ76" s="127">
        <f t="shared" si="501"/>
        <v>59.24</v>
      </c>
      <c r="BA76" s="127">
        <f t="shared" si="355"/>
        <v>30.509999999999998</v>
      </c>
      <c r="BB76" s="127">
        <f t="shared" si="531"/>
        <v>3.75</v>
      </c>
      <c r="BC76" s="127">
        <f t="shared" si="531"/>
        <v>3.0599999999999996</v>
      </c>
      <c r="BD76" s="127">
        <f t="shared" si="531"/>
        <v>3.3</v>
      </c>
      <c r="BE76" s="127">
        <f t="shared" si="444"/>
        <v>0</v>
      </c>
      <c r="BF76" s="127">
        <f t="shared" si="83"/>
        <v>0</v>
      </c>
      <c r="BG76" s="127">
        <f t="shared" si="83"/>
        <v>0</v>
      </c>
      <c r="BH76" s="2"/>
      <c r="BI76" s="2"/>
      <c r="BJ76" s="2"/>
      <c r="BK76" s="2"/>
    </row>
    <row r="77" spans="1:68" s="6" customFormat="1" ht="20.100000000000001" customHeight="1" x14ac:dyDescent="0.3">
      <c r="A77" s="76"/>
      <c r="B77" s="77" t="s">
        <v>47</v>
      </c>
      <c r="C77" s="79">
        <f>+C74+C75+C76</f>
        <v>1006.2</v>
      </c>
      <c r="D77" s="79">
        <f t="shared" ref="D77:Y77" si="532">+D74+D75+D76</f>
        <v>410.8</v>
      </c>
      <c r="E77" s="79">
        <f t="shared" si="532"/>
        <v>0</v>
      </c>
      <c r="F77" s="79">
        <f t="shared" si="532"/>
        <v>55</v>
      </c>
      <c r="G77" s="79">
        <f t="shared" si="532"/>
        <v>35</v>
      </c>
      <c r="H77" s="79">
        <f t="shared" si="532"/>
        <v>0</v>
      </c>
      <c r="I77" s="79">
        <f t="shared" si="532"/>
        <v>70</v>
      </c>
      <c r="J77" s="79">
        <f t="shared" si="532"/>
        <v>3</v>
      </c>
      <c r="K77" s="79">
        <f t="shared" si="532"/>
        <v>0</v>
      </c>
      <c r="L77" s="79">
        <f t="shared" si="532"/>
        <v>40</v>
      </c>
      <c r="M77" s="79">
        <f t="shared" si="532"/>
        <v>34</v>
      </c>
      <c r="N77" s="79">
        <f t="shared" si="532"/>
        <v>74</v>
      </c>
      <c r="O77" s="79">
        <f t="shared" si="532"/>
        <v>1171.2</v>
      </c>
      <c r="P77" s="79">
        <f t="shared" si="532"/>
        <v>482.8</v>
      </c>
      <c r="Q77" s="79">
        <f t="shared" si="532"/>
        <v>1654</v>
      </c>
      <c r="R77" s="79">
        <f t="shared" si="532"/>
        <v>212.5</v>
      </c>
      <c r="S77" s="79">
        <f t="shared" si="532"/>
        <v>15</v>
      </c>
      <c r="T77" s="79">
        <f t="shared" si="532"/>
        <v>15</v>
      </c>
      <c r="U77" s="79">
        <f t="shared" si="532"/>
        <v>0</v>
      </c>
      <c r="V77" s="79">
        <f t="shared" si="532"/>
        <v>26.25</v>
      </c>
      <c r="W77" s="79">
        <f t="shared" si="532"/>
        <v>3</v>
      </c>
      <c r="X77" s="79">
        <f t="shared" si="532"/>
        <v>27.5</v>
      </c>
      <c r="Y77" s="115">
        <f t="shared" si="532"/>
        <v>4.5</v>
      </c>
      <c r="Z77" s="79">
        <f t="shared" ref="Z77" si="533">+Z74+Z75+Z76</f>
        <v>218.55000000000004</v>
      </c>
      <c r="AA77" s="79">
        <f t="shared" ref="AA77" si="534">+AA74+AA75+AA76</f>
        <v>40.6</v>
      </c>
      <c r="AB77" s="79">
        <f t="shared" ref="AB77" si="535">+AB74+AB75+AB76</f>
        <v>4.2199999999999989</v>
      </c>
      <c r="AC77" s="79">
        <f t="shared" ref="AC77" si="536">+AC74+AC75+AC76</f>
        <v>7.3199999999999994</v>
      </c>
      <c r="AD77" s="79">
        <f t="shared" ref="AD77" si="537">+AD74+AD75+AD76</f>
        <v>2.4500000000000002</v>
      </c>
      <c r="AE77" s="79">
        <f t="shared" ref="AE77" si="538">+AE74+AE75+AE76</f>
        <v>0</v>
      </c>
      <c r="AF77" s="79">
        <f t="shared" ref="AF77" si="539">+AF74+AF75+AF76</f>
        <v>0</v>
      </c>
      <c r="AG77" s="79">
        <f t="shared" ref="AG77" si="540">+AG74+AG75+AG76</f>
        <v>0</v>
      </c>
      <c r="AH77" s="79">
        <f t="shared" ref="AH77" si="541">+AH74+AH75+AH76</f>
        <v>71.94</v>
      </c>
      <c r="AI77" s="79">
        <f t="shared" ref="AI77" si="542">+AI74+AI75+AI76</f>
        <v>54.679999999999993</v>
      </c>
      <c r="AJ77" s="79">
        <f t="shared" ref="AJ77" si="543">+AJ74+AJ75+AJ76</f>
        <v>8.2800000000000011</v>
      </c>
      <c r="AK77" s="79">
        <f t="shared" ref="AK77" si="544">+AK74+AK75+AK76</f>
        <v>4.18</v>
      </c>
      <c r="AL77" s="79">
        <f t="shared" ref="AL77" si="545">+AL74+AL75+AL76</f>
        <v>6.3000000000000007</v>
      </c>
      <c r="AM77" s="79">
        <f t="shared" ref="AM77" si="546">+AM74+AM75+AM76</f>
        <v>0.46</v>
      </c>
      <c r="AN77" s="79">
        <f t="shared" ref="AN77" si="547">+AN74+AN75+AN76</f>
        <v>0</v>
      </c>
      <c r="AO77" s="79">
        <f t="shared" ref="AO77" si="548">+AO74+AO75+AO76</f>
        <v>6.06</v>
      </c>
      <c r="AP77" s="79">
        <f t="shared" ref="AP77" si="549">+AP74+AP75+AP76</f>
        <v>251.55</v>
      </c>
      <c r="AQ77" s="79">
        <f t="shared" ref="AQ77" si="550">+AQ74+AQ75+AQ76</f>
        <v>115.32</v>
      </c>
      <c r="AR77" s="79">
        <f t="shared" ref="AR77" si="551">+AR74+AR75+AR76</f>
        <v>13.75</v>
      </c>
      <c r="AS77" s="79">
        <f t="shared" ref="AS77" si="552">+AS74+AS75+AS76</f>
        <v>9.86</v>
      </c>
      <c r="AT77" s="79">
        <f t="shared" ref="AT77" si="553">+AT74+AT75+AT76</f>
        <v>17.5</v>
      </c>
      <c r="AU77" s="79">
        <f t="shared" ref="AU77" si="554">+AU74+AU75+AU76</f>
        <v>0</v>
      </c>
      <c r="AV77" s="79">
        <f t="shared" ref="AV77:BG77" si="555">+AV74+AV75+AV76</f>
        <v>10</v>
      </c>
      <c r="AW77" s="79">
        <f t="shared" si="555"/>
        <v>9.57</v>
      </c>
      <c r="AX77" s="79">
        <f t="shared" si="555"/>
        <v>0</v>
      </c>
      <c r="AY77" s="79">
        <f t="shared" si="555"/>
        <v>0</v>
      </c>
      <c r="AZ77" s="79">
        <f t="shared" si="555"/>
        <v>754.54</v>
      </c>
      <c r="BA77" s="79">
        <f t="shared" si="555"/>
        <v>225.6</v>
      </c>
      <c r="BB77" s="79">
        <f t="shared" si="555"/>
        <v>41.25</v>
      </c>
      <c r="BC77" s="79">
        <f t="shared" si="555"/>
        <v>21.359999999999996</v>
      </c>
      <c r="BD77" s="79">
        <f t="shared" si="555"/>
        <v>52.5</v>
      </c>
      <c r="BE77" s="79">
        <f t="shared" si="555"/>
        <v>3.46</v>
      </c>
      <c r="BF77" s="79">
        <f t="shared" si="555"/>
        <v>37.5</v>
      </c>
      <c r="BG77" s="79">
        <f t="shared" si="555"/>
        <v>20.13</v>
      </c>
      <c r="BH77" s="79"/>
      <c r="BI77" s="79"/>
      <c r="BJ77" s="79"/>
      <c r="BK77" s="79"/>
      <c r="BL77" s="79">
        <f t="shared" ref="BL77" si="556">SUM(BL74:BL76)</f>
        <v>0</v>
      </c>
    </row>
    <row r="78" spans="1:68" ht="20.100000000000001" customHeight="1" x14ac:dyDescent="0.35">
      <c r="A78" s="15">
        <v>56</v>
      </c>
      <c r="B78" s="16" t="s">
        <v>49</v>
      </c>
      <c r="C78" s="25">
        <v>767</v>
      </c>
      <c r="D78" s="36">
        <v>466</v>
      </c>
      <c r="E78" s="19"/>
      <c r="F78" s="67">
        <v>10</v>
      </c>
      <c r="G78" s="68">
        <v>20</v>
      </c>
      <c r="H78" s="19"/>
      <c r="I78" s="36">
        <v>50</v>
      </c>
      <c r="J78" s="26">
        <v>0</v>
      </c>
      <c r="K78" s="19"/>
      <c r="L78" s="36">
        <v>80</v>
      </c>
      <c r="M78" s="36">
        <v>10</v>
      </c>
      <c r="N78" s="19">
        <f t="shared" si="5"/>
        <v>90</v>
      </c>
      <c r="O78" s="19">
        <f t="shared" ref="O78:P80" si="557">C78+F78+I78+L78</f>
        <v>907</v>
      </c>
      <c r="P78" s="20">
        <f t="shared" si="557"/>
        <v>496</v>
      </c>
      <c r="Q78" s="19">
        <f t="shared" si="1"/>
        <v>1403</v>
      </c>
      <c r="R78" s="17">
        <v>195</v>
      </c>
      <c r="S78" s="17">
        <v>12.75</v>
      </c>
      <c r="T78" s="17">
        <v>0</v>
      </c>
      <c r="U78" s="17">
        <v>0</v>
      </c>
      <c r="V78" s="17">
        <v>10</v>
      </c>
      <c r="W78" s="17">
        <v>0</v>
      </c>
      <c r="X78" s="17">
        <v>37.5</v>
      </c>
      <c r="Y78" s="113">
        <v>3</v>
      </c>
      <c r="Z78" s="127">
        <v>133.57999999999998</v>
      </c>
      <c r="AA78" s="127">
        <v>43.680000000000007</v>
      </c>
      <c r="AB78" s="127">
        <v>0</v>
      </c>
      <c r="AC78" s="127">
        <v>4.18</v>
      </c>
      <c r="AD78" s="127">
        <v>5.5</v>
      </c>
      <c r="AE78" s="127">
        <v>0</v>
      </c>
      <c r="AF78" s="127"/>
      <c r="AG78" s="127"/>
      <c r="AH78" s="127">
        <v>54.84</v>
      </c>
      <c r="AI78" s="127">
        <v>62.02</v>
      </c>
      <c r="AJ78" s="127">
        <v>6.01</v>
      </c>
      <c r="AK78" s="127">
        <v>2.39</v>
      </c>
      <c r="AL78" s="127">
        <v>4.5</v>
      </c>
      <c r="AM78" s="127">
        <v>0</v>
      </c>
      <c r="AN78" s="127">
        <v>2.5</v>
      </c>
      <c r="AO78" s="127">
        <v>0.28999999999999998</v>
      </c>
      <c r="AP78" s="127">
        <v>191.75</v>
      </c>
      <c r="AQ78" s="127">
        <v>130.81</v>
      </c>
      <c r="AR78" s="127">
        <v>2.5</v>
      </c>
      <c r="AS78" s="127">
        <v>5.63</v>
      </c>
      <c r="AT78" s="127">
        <v>12.5</v>
      </c>
      <c r="AU78" s="127">
        <v>0</v>
      </c>
      <c r="AV78" s="127">
        <v>20</v>
      </c>
      <c r="AW78" s="127">
        <v>2.82</v>
      </c>
      <c r="AX78" s="127"/>
      <c r="AY78" s="127"/>
      <c r="AZ78" s="127">
        <f t="shared" si="501"/>
        <v>575.16999999999996</v>
      </c>
      <c r="BA78" s="127">
        <f t="shared" si="355"/>
        <v>249.26000000000002</v>
      </c>
      <c r="BB78" s="127">
        <f t="shared" si="531"/>
        <v>8.51</v>
      </c>
      <c r="BC78" s="127">
        <f t="shared" si="531"/>
        <v>12.2</v>
      </c>
      <c r="BD78" s="127">
        <f t="shared" si="531"/>
        <v>32.5</v>
      </c>
      <c r="BE78" s="127">
        <f t="shared" si="444"/>
        <v>0</v>
      </c>
      <c r="BF78" s="127">
        <f t="shared" si="83"/>
        <v>60</v>
      </c>
      <c r="BG78" s="127">
        <f t="shared" si="83"/>
        <v>6.1099999999999994</v>
      </c>
      <c r="BH78" s="2"/>
      <c r="BI78" s="2"/>
      <c r="BJ78" s="2"/>
      <c r="BK78" s="2"/>
    </row>
    <row r="79" spans="1:68" ht="20.100000000000001" customHeight="1" x14ac:dyDescent="0.35">
      <c r="A79" s="15">
        <v>57</v>
      </c>
      <c r="B79" s="16" t="s">
        <v>50</v>
      </c>
      <c r="C79" s="25">
        <v>575</v>
      </c>
      <c r="D79" s="36">
        <v>56</v>
      </c>
      <c r="E79" s="19"/>
      <c r="F79" s="67">
        <v>83</v>
      </c>
      <c r="G79" s="68">
        <v>20</v>
      </c>
      <c r="H79" s="19"/>
      <c r="I79" s="36">
        <v>40</v>
      </c>
      <c r="J79" s="26">
        <v>0</v>
      </c>
      <c r="K79" s="19"/>
      <c r="L79" s="36">
        <v>0</v>
      </c>
      <c r="M79" s="36">
        <v>0</v>
      </c>
      <c r="N79" s="19">
        <f t="shared" si="5"/>
        <v>0</v>
      </c>
      <c r="O79" s="19">
        <f t="shared" si="557"/>
        <v>698</v>
      </c>
      <c r="P79" s="20">
        <f t="shared" si="557"/>
        <v>76</v>
      </c>
      <c r="Q79" s="19">
        <f t="shared" si="1"/>
        <v>774</v>
      </c>
      <c r="R79" s="17">
        <v>162.5</v>
      </c>
      <c r="S79" s="17">
        <v>0</v>
      </c>
      <c r="T79" s="17">
        <v>75</v>
      </c>
      <c r="U79" s="17">
        <v>0</v>
      </c>
      <c r="V79" s="17">
        <v>15</v>
      </c>
      <c r="W79" s="17">
        <v>0</v>
      </c>
      <c r="X79" s="17">
        <v>0</v>
      </c>
      <c r="Y79" s="113">
        <v>0</v>
      </c>
      <c r="Z79" s="127">
        <v>83.830000000000013</v>
      </c>
      <c r="AA79" s="127">
        <v>5.99</v>
      </c>
      <c r="AB79" s="127">
        <v>0</v>
      </c>
      <c r="AC79" s="127">
        <v>4.18</v>
      </c>
      <c r="AD79" s="127">
        <v>1.3999999999999986</v>
      </c>
      <c r="AE79" s="127">
        <v>0</v>
      </c>
      <c r="AF79" s="127"/>
      <c r="AG79" s="127"/>
      <c r="AH79" s="127">
        <v>41.11</v>
      </c>
      <c r="AI79" s="127">
        <v>7.45</v>
      </c>
      <c r="AJ79" s="127">
        <v>8</v>
      </c>
      <c r="AK79" s="127">
        <v>2.39</v>
      </c>
      <c r="AL79" s="127">
        <v>3.6</v>
      </c>
      <c r="AM79" s="127">
        <v>0</v>
      </c>
      <c r="AN79" s="127">
        <v>0</v>
      </c>
      <c r="AO79" s="127">
        <v>0</v>
      </c>
      <c r="AP79" s="127">
        <v>143.75</v>
      </c>
      <c r="AQ79" s="127">
        <v>0</v>
      </c>
      <c r="AR79" s="127">
        <v>0</v>
      </c>
      <c r="AS79" s="127">
        <v>5.63</v>
      </c>
      <c r="AT79" s="127">
        <v>10</v>
      </c>
      <c r="AU79" s="127">
        <v>0</v>
      </c>
      <c r="AV79" s="127">
        <v>0</v>
      </c>
      <c r="AW79" s="127">
        <v>0</v>
      </c>
      <c r="AX79" s="127"/>
      <c r="AY79" s="127"/>
      <c r="AZ79" s="127">
        <f t="shared" si="501"/>
        <v>431.19000000000005</v>
      </c>
      <c r="BA79" s="127">
        <f t="shared" si="355"/>
        <v>13.440000000000001</v>
      </c>
      <c r="BB79" s="127">
        <f t="shared" si="531"/>
        <v>83</v>
      </c>
      <c r="BC79" s="127">
        <f t="shared" si="531"/>
        <v>12.2</v>
      </c>
      <c r="BD79" s="127">
        <f t="shared" si="531"/>
        <v>30</v>
      </c>
      <c r="BE79" s="127">
        <f t="shared" si="444"/>
        <v>0</v>
      </c>
      <c r="BF79" s="127">
        <f t="shared" si="83"/>
        <v>0</v>
      </c>
      <c r="BG79" s="127">
        <f t="shared" si="83"/>
        <v>0</v>
      </c>
      <c r="BH79" s="2"/>
      <c r="BI79" s="2"/>
      <c r="BJ79" s="2"/>
      <c r="BK79" s="2"/>
    </row>
    <row r="80" spans="1:68" ht="20.100000000000001" customHeight="1" x14ac:dyDescent="0.35">
      <c r="A80" s="15">
        <v>58</v>
      </c>
      <c r="B80" s="16" t="s">
        <v>51</v>
      </c>
      <c r="C80" s="25">
        <v>654</v>
      </c>
      <c r="D80" s="36">
        <v>124</v>
      </c>
      <c r="E80" s="19"/>
      <c r="F80" s="67">
        <v>0</v>
      </c>
      <c r="G80" s="68">
        <v>0</v>
      </c>
      <c r="H80" s="19"/>
      <c r="I80" s="36">
        <v>0</v>
      </c>
      <c r="J80" s="26">
        <v>0</v>
      </c>
      <c r="K80" s="19"/>
      <c r="L80" s="36">
        <v>0</v>
      </c>
      <c r="M80" s="36">
        <v>0</v>
      </c>
      <c r="N80" s="19">
        <f t="shared" si="5"/>
        <v>0</v>
      </c>
      <c r="O80" s="19">
        <f t="shared" si="557"/>
        <v>654</v>
      </c>
      <c r="P80" s="20">
        <f t="shared" si="557"/>
        <v>124</v>
      </c>
      <c r="Q80" s="19">
        <f t="shared" si="1"/>
        <v>778</v>
      </c>
      <c r="R80" s="17">
        <v>162.5</v>
      </c>
      <c r="S80" s="17">
        <v>3.75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13">
        <v>0</v>
      </c>
      <c r="Z80" s="127">
        <v>117.67000000000002</v>
      </c>
      <c r="AA80" s="127">
        <v>15.579999999999998</v>
      </c>
      <c r="AB80" s="127">
        <v>0</v>
      </c>
      <c r="AC80" s="127">
        <v>0</v>
      </c>
      <c r="AD80" s="127">
        <v>0</v>
      </c>
      <c r="AE80" s="127">
        <v>0</v>
      </c>
      <c r="AF80" s="127"/>
      <c r="AG80" s="127"/>
      <c r="AH80" s="127">
        <v>46.76</v>
      </c>
      <c r="AI80" s="127">
        <v>16.5</v>
      </c>
      <c r="AJ80" s="127">
        <v>0</v>
      </c>
      <c r="AK80" s="127">
        <v>0</v>
      </c>
      <c r="AL80" s="127">
        <v>0</v>
      </c>
      <c r="AM80" s="127">
        <v>0</v>
      </c>
      <c r="AN80" s="127">
        <v>0</v>
      </c>
      <c r="AO80" s="127">
        <v>0</v>
      </c>
      <c r="AP80" s="127">
        <v>163.5</v>
      </c>
      <c r="AQ80" s="127">
        <v>0</v>
      </c>
      <c r="AR80" s="127">
        <v>0</v>
      </c>
      <c r="AS80" s="127">
        <v>0</v>
      </c>
      <c r="AT80" s="127">
        <v>0</v>
      </c>
      <c r="AU80" s="127">
        <v>0</v>
      </c>
      <c r="AV80" s="127">
        <v>0</v>
      </c>
      <c r="AW80" s="127">
        <v>0</v>
      </c>
      <c r="AX80" s="127"/>
      <c r="AY80" s="127"/>
      <c r="AZ80" s="127">
        <f t="shared" si="501"/>
        <v>490.43</v>
      </c>
      <c r="BA80" s="127">
        <f t="shared" si="355"/>
        <v>35.83</v>
      </c>
      <c r="BB80" s="127">
        <f t="shared" si="531"/>
        <v>0</v>
      </c>
      <c r="BC80" s="127">
        <f t="shared" si="531"/>
        <v>0</v>
      </c>
      <c r="BD80" s="127">
        <f t="shared" si="531"/>
        <v>0</v>
      </c>
      <c r="BE80" s="127">
        <f t="shared" si="444"/>
        <v>0</v>
      </c>
      <c r="BF80" s="127">
        <f t="shared" si="83"/>
        <v>0</v>
      </c>
      <c r="BG80" s="127">
        <f t="shared" si="83"/>
        <v>0</v>
      </c>
      <c r="BH80" s="2"/>
      <c r="BI80" s="2"/>
      <c r="BJ80" s="2"/>
      <c r="BK80" s="2"/>
    </row>
    <row r="81" spans="1:66" s="6" customFormat="1" ht="20.100000000000001" customHeight="1" x14ac:dyDescent="0.3">
      <c r="A81" s="76"/>
      <c r="B81" s="77" t="s">
        <v>49</v>
      </c>
      <c r="C81" s="79">
        <f>+C78+C79+C80</f>
        <v>1996</v>
      </c>
      <c r="D81" s="79">
        <f t="shared" ref="D81:Y81" si="558">+D78+D79+D80</f>
        <v>646</v>
      </c>
      <c r="E81" s="79">
        <f t="shared" si="558"/>
        <v>0</v>
      </c>
      <c r="F81" s="79">
        <f t="shared" si="558"/>
        <v>93</v>
      </c>
      <c r="G81" s="79">
        <f t="shared" si="558"/>
        <v>40</v>
      </c>
      <c r="H81" s="79">
        <f t="shared" si="558"/>
        <v>0</v>
      </c>
      <c r="I81" s="79">
        <f t="shared" si="558"/>
        <v>90</v>
      </c>
      <c r="J81" s="79">
        <f t="shared" si="558"/>
        <v>0</v>
      </c>
      <c r="K81" s="79">
        <f t="shared" si="558"/>
        <v>0</v>
      </c>
      <c r="L81" s="79">
        <f t="shared" si="558"/>
        <v>80</v>
      </c>
      <c r="M81" s="79">
        <f t="shared" si="558"/>
        <v>10</v>
      </c>
      <c r="N81" s="79">
        <f t="shared" si="558"/>
        <v>90</v>
      </c>
      <c r="O81" s="79">
        <f t="shared" si="558"/>
        <v>2259</v>
      </c>
      <c r="P81" s="79">
        <f t="shared" si="558"/>
        <v>696</v>
      </c>
      <c r="Q81" s="79">
        <f t="shared" si="558"/>
        <v>2955</v>
      </c>
      <c r="R81" s="79">
        <f t="shared" si="558"/>
        <v>520</v>
      </c>
      <c r="S81" s="79">
        <f t="shared" si="558"/>
        <v>16.5</v>
      </c>
      <c r="T81" s="79">
        <f t="shared" si="558"/>
        <v>75</v>
      </c>
      <c r="U81" s="79">
        <f t="shared" si="558"/>
        <v>0</v>
      </c>
      <c r="V81" s="79">
        <f t="shared" si="558"/>
        <v>25</v>
      </c>
      <c r="W81" s="79">
        <f t="shared" si="558"/>
        <v>0</v>
      </c>
      <c r="X81" s="79">
        <f t="shared" si="558"/>
        <v>37.5</v>
      </c>
      <c r="Y81" s="115">
        <f t="shared" si="558"/>
        <v>3</v>
      </c>
      <c r="Z81" s="79">
        <f t="shared" ref="Z81" si="559">+Z78+Z79+Z80</f>
        <v>335.08000000000004</v>
      </c>
      <c r="AA81" s="79">
        <f t="shared" ref="AA81" si="560">+AA78+AA79+AA80</f>
        <v>65.25</v>
      </c>
      <c r="AB81" s="79">
        <f t="shared" ref="AB81" si="561">+AB78+AB79+AB80</f>
        <v>0</v>
      </c>
      <c r="AC81" s="79">
        <f t="shared" ref="AC81" si="562">+AC78+AC79+AC80</f>
        <v>8.36</v>
      </c>
      <c r="AD81" s="79">
        <f t="shared" ref="AD81" si="563">+AD78+AD79+AD80</f>
        <v>6.8999999999999986</v>
      </c>
      <c r="AE81" s="79">
        <f t="shared" ref="AE81" si="564">+AE78+AE79+AE80</f>
        <v>0</v>
      </c>
      <c r="AF81" s="79">
        <f t="shared" ref="AF81" si="565">+AF78+AF79+AF80</f>
        <v>0</v>
      </c>
      <c r="AG81" s="79">
        <f t="shared" ref="AG81" si="566">+AG78+AG79+AG80</f>
        <v>0</v>
      </c>
      <c r="AH81" s="79">
        <f t="shared" ref="AH81" si="567">+AH78+AH79+AH80</f>
        <v>142.71</v>
      </c>
      <c r="AI81" s="79">
        <f t="shared" ref="AI81" si="568">+AI78+AI79+AI80</f>
        <v>85.97</v>
      </c>
      <c r="AJ81" s="79">
        <f t="shared" ref="AJ81" si="569">+AJ78+AJ79+AJ80</f>
        <v>14.01</v>
      </c>
      <c r="AK81" s="79">
        <f t="shared" ref="AK81" si="570">+AK78+AK79+AK80</f>
        <v>4.78</v>
      </c>
      <c r="AL81" s="79">
        <f t="shared" ref="AL81" si="571">+AL78+AL79+AL80</f>
        <v>8.1</v>
      </c>
      <c r="AM81" s="79">
        <f t="shared" ref="AM81" si="572">+AM78+AM79+AM80</f>
        <v>0</v>
      </c>
      <c r="AN81" s="79">
        <f t="shared" ref="AN81" si="573">+AN78+AN79+AN80</f>
        <v>2.5</v>
      </c>
      <c r="AO81" s="79">
        <f t="shared" ref="AO81" si="574">+AO78+AO79+AO80</f>
        <v>0.28999999999999998</v>
      </c>
      <c r="AP81" s="79">
        <f t="shared" ref="AP81" si="575">+AP78+AP79+AP80</f>
        <v>499</v>
      </c>
      <c r="AQ81" s="79">
        <f t="shared" ref="AQ81" si="576">+AQ78+AQ79+AQ80</f>
        <v>130.81</v>
      </c>
      <c r="AR81" s="79">
        <f t="shared" ref="AR81" si="577">+AR78+AR79+AR80</f>
        <v>2.5</v>
      </c>
      <c r="AS81" s="79">
        <f t="shared" ref="AS81" si="578">+AS78+AS79+AS80</f>
        <v>11.26</v>
      </c>
      <c r="AT81" s="79">
        <f t="shared" ref="AT81" si="579">+AT78+AT79+AT80</f>
        <v>22.5</v>
      </c>
      <c r="AU81" s="79">
        <f t="shared" ref="AU81" si="580">+AU78+AU79+AU80</f>
        <v>0</v>
      </c>
      <c r="AV81" s="79">
        <f t="shared" ref="AV81:BG81" si="581">+AV78+AV79+AV80</f>
        <v>20</v>
      </c>
      <c r="AW81" s="79">
        <f t="shared" si="581"/>
        <v>2.82</v>
      </c>
      <c r="AX81" s="79">
        <f t="shared" si="581"/>
        <v>0</v>
      </c>
      <c r="AY81" s="79">
        <f t="shared" si="581"/>
        <v>0</v>
      </c>
      <c r="AZ81" s="79">
        <f t="shared" si="581"/>
        <v>1496.79</v>
      </c>
      <c r="BA81" s="79">
        <f t="shared" si="581"/>
        <v>298.53000000000003</v>
      </c>
      <c r="BB81" s="79">
        <f t="shared" si="581"/>
        <v>91.51</v>
      </c>
      <c r="BC81" s="79">
        <f t="shared" si="581"/>
        <v>24.4</v>
      </c>
      <c r="BD81" s="79">
        <f t="shared" si="581"/>
        <v>62.5</v>
      </c>
      <c r="BE81" s="79">
        <f t="shared" si="581"/>
        <v>0</v>
      </c>
      <c r="BF81" s="79">
        <f t="shared" si="581"/>
        <v>60</v>
      </c>
      <c r="BG81" s="79">
        <f t="shared" si="581"/>
        <v>6.1099999999999994</v>
      </c>
      <c r="BH81" s="79"/>
      <c r="BI81" s="79"/>
      <c r="BJ81" s="79"/>
      <c r="BK81" s="79"/>
      <c r="BL81" s="79">
        <f t="shared" ref="BL81:BN81" si="582">+BL78+BL79+BL80</f>
        <v>0</v>
      </c>
      <c r="BM81" s="79">
        <f t="shared" si="582"/>
        <v>0</v>
      </c>
      <c r="BN81" s="79">
        <f t="shared" si="582"/>
        <v>0</v>
      </c>
    </row>
    <row r="82" spans="1:66" ht="20.100000000000001" customHeight="1" x14ac:dyDescent="0.35">
      <c r="A82" s="15">
        <v>59</v>
      </c>
      <c r="B82" s="16" t="s">
        <v>52</v>
      </c>
      <c r="C82" s="25">
        <v>758</v>
      </c>
      <c r="D82" s="36">
        <v>272</v>
      </c>
      <c r="E82" s="19"/>
      <c r="F82" s="67">
        <v>10</v>
      </c>
      <c r="G82" s="68">
        <v>20</v>
      </c>
      <c r="H82" s="19"/>
      <c r="I82" s="36">
        <v>30</v>
      </c>
      <c r="J82" s="26">
        <v>0</v>
      </c>
      <c r="K82" s="19"/>
      <c r="L82" s="36">
        <v>5</v>
      </c>
      <c r="M82" s="36">
        <v>0</v>
      </c>
      <c r="N82" s="19">
        <f t="shared" si="5"/>
        <v>5</v>
      </c>
      <c r="O82" s="19">
        <f>C82+F82+I82+L82</f>
        <v>803</v>
      </c>
      <c r="P82" s="20">
        <f>D82+G82+J82+M82</f>
        <v>292</v>
      </c>
      <c r="Q82" s="19">
        <f t="shared" si="1"/>
        <v>1095</v>
      </c>
      <c r="R82" s="17">
        <v>162.5</v>
      </c>
      <c r="S82" s="17">
        <v>0</v>
      </c>
      <c r="T82" s="17">
        <v>1.25</v>
      </c>
      <c r="U82" s="17">
        <v>0</v>
      </c>
      <c r="V82" s="17">
        <v>1.69</v>
      </c>
      <c r="W82" s="17">
        <v>0</v>
      </c>
      <c r="X82" s="17">
        <v>5</v>
      </c>
      <c r="Y82" s="113">
        <v>0</v>
      </c>
      <c r="Z82" s="127">
        <v>162.23000000000002</v>
      </c>
      <c r="AA82" s="127">
        <v>33.369999999999997</v>
      </c>
      <c r="AB82" s="127">
        <v>2.2400000000000002</v>
      </c>
      <c r="AC82" s="127">
        <v>4.18</v>
      </c>
      <c r="AD82" s="127">
        <v>5.6100000000000012</v>
      </c>
      <c r="AE82" s="127">
        <v>0</v>
      </c>
      <c r="AF82" s="127"/>
      <c r="AG82" s="127"/>
      <c r="AH82" s="127">
        <v>54.2</v>
      </c>
      <c r="AI82" s="127">
        <v>36.200000000000003</v>
      </c>
      <c r="AJ82" s="127">
        <v>1.51</v>
      </c>
      <c r="AK82" s="127">
        <v>2.39</v>
      </c>
      <c r="AL82" s="127">
        <v>2.7</v>
      </c>
      <c r="AM82" s="127">
        <v>0</v>
      </c>
      <c r="AN82" s="127">
        <v>0</v>
      </c>
      <c r="AO82" s="127">
        <v>0</v>
      </c>
      <c r="AP82" s="127">
        <v>189.5</v>
      </c>
      <c r="AQ82" s="127">
        <v>76.349999999999994</v>
      </c>
      <c r="AR82" s="127">
        <v>2.5</v>
      </c>
      <c r="AS82" s="127">
        <v>5.63</v>
      </c>
      <c r="AT82" s="127">
        <v>7.5</v>
      </c>
      <c r="AU82" s="127">
        <v>0</v>
      </c>
      <c r="AV82" s="127">
        <v>0</v>
      </c>
      <c r="AW82" s="127">
        <v>0</v>
      </c>
      <c r="AX82" s="127"/>
      <c r="AY82" s="127"/>
      <c r="AZ82" s="127">
        <f t="shared" si="501"/>
        <v>568.43000000000006</v>
      </c>
      <c r="BA82" s="127">
        <f t="shared" si="355"/>
        <v>145.91999999999999</v>
      </c>
      <c r="BB82" s="127">
        <f t="shared" si="531"/>
        <v>7.5</v>
      </c>
      <c r="BC82" s="127">
        <f t="shared" si="531"/>
        <v>12.2</v>
      </c>
      <c r="BD82" s="127">
        <f t="shared" si="531"/>
        <v>17.5</v>
      </c>
      <c r="BE82" s="127">
        <f t="shared" si="444"/>
        <v>0</v>
      </c>
      <c r="BF82" s="127">
        <f t="shared" si="83"/>
        <v>5</v>
      </c>
      <c r="BG82" s="127">
        <f t="shared" si="83"/>
        <v>0</v>
      </c>
      <c r="BH82" s="2"/>
      <c r="BI82" s="2"/>
      <c r="BJ82" s="2"/>
      <c r="BK82" s="2"/>
    </row>
    <row r="83" spans="1:66" ht="20.100000000000001" customHeight="1" x14ac:dyDescent="0.35">
      <c r="A83" s="15">
        <v>60</v>
      </c>
      <c r="B83" s="16" t="s">
        <v>53</v>
      </c>
      <c r="C83" s="25">
        <v>219</v>
      </c>
      <c r="D83" s="36">
        <v>25</v>
      </c>
      <c r="E83" s="19"/>
      <c r="F83" s="67">
        <v>10</v>
      </c>
      <c r="G83" s="68">
        <v>5</v>
      </c>
      <c r="H83" s="19"/>
      <c r="I83" s="36">
        <v>20</v>
      </c>
      <c r="J83" s="26">
        <v>0</v>
      </c>
      <c r="K83" s="19"/>
      <c r="L83" s="36">
        <v>4</v>
      </c>
      <c r="M83" s="36">
        <v>0</v>
      </c>
      <c r="N83" s="19">
        <f t="shared" si="5"/>
        <v>4</v>
      </c>
      <c r="O83" s="19">
        <f>C83+F83+I83+L83</f>
        <v>253</v>
      </c>
      <c r="P83" s="20">
        <f>D83+G83+J83+M83</f>
        <v>30</v>
      </c>
      <c r="Q83" s="19">
        <f t="shared" si="1"/>
        <v>283</v>
      </c>
      <c r="R83" s="17">
        <v>65</v>
      </c>
      <c r="S83" s="17">
        <v>0</v>
      </c>
      <c r="T83" s="17">
        <v>0.5</v>
      </c>
      <c r="U83" s="17">
        <v>0</v>
      </c>
      <c r="V83" s="17">
        <v>2.5</v>
      </c>
      <c r="W83" s="17">
        <v>0</v>
      </c>
      <c r="X83" s="17">
        <v>0</v>
      </c>
      <c r="Y83" s="113">
        <v>0</v>
      </c>
      <c r="Z83" s="127">
        <v>28.819999999999993</v>
      </c>
      <c r="AA83" s="127">
        <v>4.91</v>
      </c>
      <c r="AB83" s="127">
        <v>1.9900000000000002</v>
      </c>
      <c r="AC83" s="127">
        <v>1.05</v>
      </c>
      <c r="AD83" s="127">
        <v>5.6999999999999993</v>
      </c>
      <c r="AE83" s="127">
        <v>0</v>
      </c>
      <c r="AF83" s="127"/>
      <c r="AG83" s="127"/>
      <c r="AH83" s="127">
        <v>15.66</v>
      </c>
      <c r="AI83" s="127">
        <v>3.33</v>
      </c>
      <c r="AJ83" s="127">
        <v>1.51</v>
      </c>
      <c r="AK83" s="127">
        <v>0.6</v>
      </c>
      <c r="AL83" s="127">
        <v>1.8</v>
      </c>
      <c r="AM83" s="127">
        <v>0</v>
      </c>
      <c r="AN83" s="127">
        <v>0</v>
      </c>
      <c r="AO83" s="127">
        <v>0</v>
      </c>
      <c r="AP83" s="127">
        <v>54.75</v>
      </c>
      <c r="AQ83" s="127">
        <v>7.02</v>
      </c>
      <c r="AR83" s="127">
        <v>2.5</v>
      </c>
      <c r="AS83" s="127">
        <v>1.41</v>
      </c>
      <c r="AT83" s="127">
        <v>5</v>
      </c>
      <c r="AU83" s="127">
        <v>0</v>
      </c>
      <c r="AV83" s="127">
        <v>1</v>
      </c>
      <c r="AW83" s="127">
        <v>0</v>
      </c>
      <c r="AX83" s="127"/>
      <c r="AY83" s="127"/>
      <c r="AZ83" s="127">
        <f t="shared" si="501"/>
        <v>164.23</v>
      </c>
      <c r="BA83" s="127">
        <f t="shared" si="355"/>
        <v>15.26</v>
      </c>
      <c r="BB83" s="127">
        <f t="shared" si="531"/>
        <v>6.5</v>
      </c>
      <c r="BC83" s="127">
        <f t="shared" si="531"/>
        <v>3.0599999999999996</v>
      </c>
      <c r="BD83" s="127">
        <f t="shared" si="531"/>
        <v>15</v>
      </c>
      <c r="BE83" s="127">
        <f t="shared" si="444"/>
        <v>0</v>
      </c>
      <c r="BF83" s="127">
        <f t="shared" si="83"/>
        <v>1</v>
      </c>
      <c r="BG83" s="127">
        <f t="shared" si="83"/>
        <v>0</v>
      </c>
      <c r="BH83" s="2"/>
      <c r="BI83" s="2"/>
      <c r="BJ83" s="2"/>
      <c r="BK83" s="2"/>
    </row>
    <row r="84" spans="1:66" s="6" customFormat="1" ht="20.100000000000001" customHeight="1" x14ac:dyDescent="0.3">
      <c r="A84" s="76"/>
      <c r="B84" s="77" t="s">
        <v>52</v>
      </c>
      <c r="C84" s="79">
        <f>+C82+C83</f>
        <v>977</v>
      </c>
      <c r="D84" s="79">
        <f t="shared" ref="D84:W84" si="583">+D82+D83</f>
        <v>297</v>
      </c>
      <c r="E84" s="79">
        <f t="shared" si="583"/>
        <v>0</v>
      </c>
      <c r="F84" s="79">
        <f t="shared" si="583"/>
        <v>20</v>
      </c>
      <c r="G84" s="79">
        <f t="shared" si="583"/>
        <v>25</v>
      </c>
      <c r="H84" s="79">
        <f t="shared" si="583"/>
        <v>0</v>
      </c>
      <c r="I84" s="79">
        <f t="shared" si="583"/>
        <v>50</v>
      </c>
      <c r="J84" s="79">
        <f t="shared" si="583"/>
        <v>0</v>
      </c>
      <c r="K84" s="79">
        <f t="shared" si="583"/>
        <v>0</v>
      </c>
      <c r="L84" s="79">
        <f t="shared" si="583"/>
        <v>9</v>
      </c>
      <c r="M84" s="79">
        <f t="shared" si="583"/>
        <v>0</v>
      </c>
      <c r="N84" s="79">
        <f t="shared" si="583"/>
        <v>9</v>
      </c>
      <c r="O84" s="79">
        <f t="shared" si="583"/>
        <v>1056</v>
      </c>
      <c r="P84" s="79">
        <f t="shared" si="583"/>
        <v>322</v>
      </c>
      <c r="Q84" s="79">
        <f t="shared" si="583"/>
        <v>1378</v>
      </c>
      <c r="R84" s="79">
        <f t="shared" si="583"/>
        <v>227.5</v>
      </c>
      <c r="S84" s="79">
        <f t="shared" si="583"/>
        <v>0</v>
      </c>
      <c r="T84" s="79">
        <f t="shared" si="583"/>
        <v>1.75</v>
      </c>
      <c r="U84" s="79">
        <f t="shared" si="583"/>
        <v>0</v>
      </c>
      <c r="V84" s="79">
        <f t="shared" si="583"/>
        <v>4.1899999999999995</v>
      </c>
      <c r="W84" s="79">
        <f t="shared" si="583"/>
        <v>0</v>
      </c>
      <c r="X84" s="79">
        <f t="shared" ref="X84" si="584">+X82+X83</f>
        <v>5</v>
      </c>
      <c r="Y84" s="115">
        <f t="shared" ref="Y84" si="585">+Y82+Y83</f>
        <v>0</v>
      </c>
      <c r="Z84" s="79">
        <f t="shared" ref="Z84" si="586">+Z82+Z83</f>
        <v>191.05</v>
      </c>
      <c r="AA84" s="79">
        <f t="shared" ref="AA84" si="587">+AA82+AA83</f>
        <v>38.28</v>
      </c>
      <c r="AB84" s="79">
        <f t="shared" ref="AB84" si="588">+AB82+AB83</f>
        <v>4.2300000000000004</v>
      </c>
      <c r="AC84" s="79">
        <f t="shared" ref="AC84" si="589">+AC82+AC83</f>
        <v>5.2299999999999995</v>
      </c>
      <c r="AD84" s="79">
        <f t="shared" ref="AD84" si="590">+AD82+AD83</f>
        <v>11.31</v>
      </c>
      <c r="AE84" s="79">
        <f t="shared" ref="AE84" si="591">+AE82+AE83</f>
        <v>0</v>
      </c>
      <c r="AF84" s="79">
        <f t="shared" ref="AF84" si="592">+AF82+AF83</f>
        <v>0</v>
      </c>
      <c r="AG84" s="79">
        <f t="shared" ref="AG84" si="593">+AG82+AG83</f>
        <v>0</v>
      </c>
      <c r="AH84" s="79">
        <f t="shared" ref="AH84" si="594">+AH82+AH83</f>
        <v>69.86</v>
      </c>
      <c r="AI84" s="79">
        <f t="shared" ref="AI84" si="595">+AI82+AI83</f>
        <v>39.53</v>
      </c>
      <c r="AJ84" s="79">
        <f t="shared" ref="AJ84" si="596">+AJ82+AJ83</f>
        <v>3.02</v>
      </c>
      <c r="AK84" s="79">
        <f t="shared" ref="AK84" si="597">+AK82+AK83</f>
        <v>2.99</v>
      </c>
      <c r="AL84" s="79">
        <f t="shared" ref="AL84" si="598">+AL82+AL83</f>
        <v>4.5</v>
      </c>
      <c r="AM84" s="79">
        <f t="shared" ref="AM84" si="599">+AM82+AM83</f>
        <v>0</v>
      </c>
      <c r="AN84" s="79">
        <f t="shared" ref="AN84" si="600">+AN82+AN83</f>
        <v>0</v>
      </c>
      <c r="AO84" s="79">
        <f t="shared" ref="AO84" si="601">+AO82+AO83</f>
        <v>0</v>
      </c>
      <c r="AP84" s="79">
        <f t="shared" ref="AP84" si="602">+AP82+AP83</f>
        <v>244.25</v>
      </c>
      <c r="AQ84" s="79">
        <f t="shared" ref="AQ84" si="603">+AQ82+AQ83</f>
        <v>83.36999999999999</v>
      </c>
      <c r="AR84" s="79">
        <f t="shared" ref="AR84" si="604">+AR82+AR83</f>
        <v>5</v>
      </c>
      <c r="AS84" s="79">
        <f t="shared" ref="AS84" si="605">+AS82+AS83</f>
        <v>7.04</v>
      </c>
      <c r="AT84" s="79">
        <f t="shared" ref="AT84" si="606">+AT82+AT83</f>
        <v>12.5</v>
      </c>
      <c r="AU84" s="79">
        <f t="shared" ref="AU84" si="607">+AU82+AU83</f>
        <v>0</v>
      </c>
      <c r="AV84" s="79">
        <f t="shared" ref="AV84:BG84" si="608">+AV82+AV83</f>
        <v>1</v>
      </c>
      <c r="AW84" s="79">
        <f t="shared" si="608"/>
        <v>0</v>
      </c>
      <c r="AX84" s="79">
        <f t="shared" si="608"/>
        <v>0</v>
      </c>
      <c r="AY84" s="79">
        <f t="shared" si="608"/>
        <v>0</v>
      </c>
      <c r="AZ84" s="79">
        <f t="shared" si="608"/>
        <v>732.66000000000008</v>
      </c>
      <c r="BA84" s="79">
        <f t="shared" si="608"/>
        <v>161.17999999999998</v>
      </c>
      <c r="BB84" s="79">
        <f t="shared" si="608"/>
        <v>14</v>
      </c>
      <c r="BC84" s="79">
        <f t="shared" si="608"/>
        <v>15.259999999999998</v>
      </c>
      <c r="BD84" s="79">
        <f t="shared" si="608"/>
        <v>32.5</v>
      </c>
      <c r="BE84" s="79">
        <f t="shared" si="608"/>
        <v>0</v>
      </c>
      <c r="BF84" s="79">
        <f t="shared" si="608"/>
        <v>6</v>
      </c>
      <c r="BG84" s="79">
        <f t="shared" si="608"/>
        <v>0</v>
      </c>
      <c r="BH84" s="79"/>
      <c r="BI84" s="79"/>
      <c r="BJ84" s="79"/>
      <c r="BK84" s="79"/>
    </row>
    <row r="85" spans="1:66" ht="20.100000000000001" customHeight="1" x14ac:dyDescent="0.35">
      <c r="A85" s="15">
        <v>61</v>
      </c>
      <c r="B85" s="16" t="s">
        <v>54</v>
      </c>
      <c r="C85" s="25">
        <v>380</v>
      </c>
      <c r="D85" s="36">
        <v>223</v>
      </c>
      <c r="E85" s="19"/>
      <c r="F85" s="67">
        <v>20</v>
      </c>
      <c r="G85" s="68">
        <v>20</v>
      </c>
      <c r="H85" s="19"/>
      <c r="I85" s="36">
        <v>20</v>
      </c>
      <c r="J85" s="26">
        <v>0</v>
      </c>
      <c r="K85" s="19"/>
      <c r="L85" s="36">
        <v>11</v>
      </c>
      <c r="M85" s="36">
        <v>85</v>
      </c>
      <c r="N85" s="19">
        <f t="shared" si="5"/>
        <v>96</v>
      </c>
      <c r="O85" s="19">
        <f t="shared" ref="O85:P86" si="609">C85+F85+I85+L85</f>
        <v>431</v>
      </c>
      <c r="P85" s="20">
        <f t="shared" si="609"/>
        <v>328</v>
      </c>
      <c r="Q85" s="19">
        <f t="shared" si="1"/>
        <v>759</v>
      </c>
      <c r="R85" s="17">
        <v>80</v>
      </c>
      <c r="S85" s="17">
        <v>34.200000000000003</v>
      </c>
      <c r="T85" s="17">
        <v>1.25</v>
      </c>
      <c r="U85" s="17">
        <v>0</v>
      </c>
      <c r="V85" s="17">
        <v>2.5</v>
      </c>
      <c r="W85" s="17">
        <v>0</v>
      </c>
      <c r="X85" s="17">
        <v>5</v>
      </c>
      <c r="Y85" s="113">
        <v>6</v>
      </c>
      <c r="Z85" s="127">
        <v>82.789999999999992</v>
      </c>
      <c r="AA85" s="127">
        <v>9.5499999999999972</v>
      </c>
      <c r="AB85" s="127">
        <v>0</v>
      </c>
      <c r="AC85" s="127">
        <v>4.18</v>
      </c>
      <c r="AD85" s="127">
        <v>5.6999999999999993</v>
      </c>
      <c r="AE85" s="127">
        <v>0</v>
      </c>
      <c r="AF85" s="127"/>
      <c r="AG85" s="127"/>
      <c r="AH85" s="127">
        <v>27.17</v>
      </c>
      <c r="AI85" s="127">
        <v>29.68</v>
      </c>
      <c r="AJ85" s="127">
        <v>6.58</v>
      </c>
      <c r="AK85" s="127">
        <v>2.39</v>
      </c>
      <c r="AL85" s="127">
        <v>1.8</v>
      </c>
      <c r="AM85" s="127">
        <v>0</v>
      </c>
      <c r="AN85" s="127">
        <v>0</v>
      </c>
      <c r="AO85" s="127">
        <v>11.920000000000002</v>
      </c>
      <c r="AP85" s="127">
        <v>95</v>
      </c>
      <c r="AQ85" s="127">
        <v>62.6</v>
      </c>
      <c r="AR85" s="127">
        <v>5</v>
      </c>
      <c r="AS85" s="127">
        <v>5.63</v>
      </c>
      <c r="AT85" s="127">
        <v>5</v>
      </c>
      <c r="AU85" s="127">
        <v>0</v>
      </c>
      <c r="AV85" s="127">
        <v>2.75</v>
      </c>
      <c r="AW85" s="127">
        <v>23.93</v>
      </c>
      <c r="AX85" s="127"/>
      <c r="AY85" s="127"/>
      <c r="AZ85" s="127">
        <f t="shared" si="501"/>
        <v>284.95999999999998</v>
      </c>
      <c r="BA85" s="127">
        <f t="shared" si="355"/>
        <v>136.03</v>
      </c>
      <c r="BB85" s="127">
        <f t="shared" si="531"/>
        <v>12.83</v>
      </c>
      <c r="BC85" s="127">
        <f t="shared" si="531"/>
        <v>12.2</v>
      </c>
      <c r="BD85" s="127">
        <f t="shared" si="531"/>
        <v>15</v>
      </c>
      <c r="BE85" s="127">
        <f t="shared" si="444"/>
        <v>0</v>
      </c>
      <c r="BF85" s="127">
        <f t="shared" si="83"/>
        <v>7.75</v>
      </c>
      <c r="BG85" s="127">
        <f t="shared" si="83"/>
        <v>41.85</v>
      </c>
      <c r="BH85" s="2"/>
      <c r="BI85" s="2"/>
      <c r="BJ85" s="2"/>
      <c r="BK85" s="2"/>
    </row>
    <row r="86" spans="1:66" ht="20.100000000000001" customHeight="1" x14ac:dyDescent="0.35">
      <c r="A86" s="15">
        <v>62</v>
      </c>
      <c r="B86" s="106" t="s">
        <v>268</v>
      </c>
      <c r="C86" s="21">
        <v>1076</v>
      </c>
      <c r="D86" s="26">
        <v>174</v>
      </c>
      <c r="E86" s="19"/>
      <c r="F86" s="67">
        <v>23.7</v>
      </c>
      <c r="G86" s="68">
        <v>35</v>
      </c>
      <c r="H86" s="19"/>
      <c r="I86" s="26">
        <v>140</v>
      </c>
      <c r="J86" s="26">
        <v>0</v>
      </c>
      <c r="K86" s="19"/>
      <c r="L86" s="36">
        <v>15.2</v>
      </c>
      <c r="M86" s="36">
        <v>0</v>
      </c>
      <c r="N86" s="19">
        <f t="shared" si="5"/>
        <v>15.2</v>
      </c>
      <c r="O86" s="19">
        <f t="shared" si="609"/>
        <v>1254.9000000000001</v>
      </c>
      <c r="P86" s="20">
        <f t="shared" si="609"/>
        <v>209</v>
      </c>
      <c r="Q86" s="19">
        <f t="shared" si="1"/>
        <v>1463.9</v>
      </c>
      <c r="R86" s="95">
        <v>210</v>
      </c>
      <c r="S86" s="17">
        <v>13.5</v>
      </c>
      <c r="T86" s="17">
        <v>23.7</v>
      </c>
      <c r="U86" s="17">
        <v>0</v>
      </c>
      <c r="V86" s="17">
        <v>30.5</v>
      </c>
      <c r="W86" s="17">
        <v>0</v>
      </c>
      <c r="X86" s="17">
        <v>15.2</v>
      </c>
      <c r="Y86" s="113">
        <v>0</v>
      </c>
      <c r="Z86" s="127">
        <v>250.95999999999998</v>
      </c>
      <c r="AA86" s="127">
        <v>11.420000000000002</v>
      </c>
      <c r="AB86" s="127">
        <v>0</v>
      </c>
      <c r="AC86" s="127">
        <v>7.32</v>
      </c>
      <c r="AD86" s="127">
        <v>21.9</v>
      </c>
      <c r="AE86" s="127">
        <v>0</v>
      </c>
      <c r="AF86" s="127"/>
      <c r="AG86" s="127"/>
      <c r="AH86" s="127">
        <v>76.930000000000007</v>
      </c>
      <c r="AI86" s="127">
        <v>23.16</v>
      </c>
      <c r="AJ86" s="127">
        <v>0</v>
      </c>
      <c r="AK86" s="127">
        <v>4.18</v>
      </c>
      <c r="AL86" s="127">
        <v>12.6</v>
      </c>
      <c r="AM86" s="127">
        <v>0</v>
      </c>
      <c r="AN86" s="127">
        <v>0</v>
      </c>
      <c r="AO86" s="127">
        <v>0</v>
      </c>
      <c r="AP86" s="127">
        <v>269</v>
      </c>
      <c r="AQ86" s="127">
        <v>48.84</v>
      </c>
      <c r="AR86" s="127">
        <v>0</v>
      </c>
      <c r="AS86" s="127">
        <v>9.85</v>
      </c>
      <c r="AT86" s="127">
        <v>35</v>
      </c>
      <c r="AU86" s="127">
        <v>0</v>
      </c>
      <c r="AV86" s="127">
        <v>0</v>
      </c>
      <c r="AW86" s="127">
        <v>0</v>
      </c>
      <c r="AX86" s="127"/>
      <c r="AY86" s="127"/>
      <c r="AZ86" s="127">
        <f t="shared" si="501"/>
        <v>806.89</v>
      </c>
      <c r="BA86" s="127">
        <f t="shared" si="355"/>
        <v>96.92</v>
      </c>
      <c r="BB86" s="127">
        <f t="shared" si="531"/>
        <v>23.7</v>
      </c>
      <c r="BC86" s="127">
        <f t="shared" si="531"/>
        <v>21.35</v>
      </c>
      <c r="BD86" s="127">
        <f t="shared" si="531"/>
        <v>100</v>
      </c>
      <c r="BE86" s="127">
        <f t="shared" si="444"/>
        <v>0</v>
      </c>
      <c r="BF86" s="127">
        <f t="shared" si="83"/>
        <v>15.2</v>
      </c>
      <c r="BG86" s="127">
        <f t="shared" si="83"/>
        <v>0</v>
      </c>
      <c r="BH86" s="2"/>
      <c r="BI86" s="2"/>
      <c r="BJ86" s="2"/>
      <c r="BK86" s="2"/>
    </row>
    <row r="87" spans="1:66" s="6" customFormat="1" ht="20.100000000000001" customHeight="1" x14ac:dyDescent="0.3">
      <c r="A87" s="76"/>
      <c r="B87" s="77" t="s">
        <v>54</v>
      </c>
      <c r="C87" s="79">
        <f>+C85+C86</f>
        <v>1456</v>
      </c>
      <c r="D87" s="79">
        <f t="shared" ref="D87:T87" si="610">+D85+D86</f>
        <v>397</v>
      </c>
      <c r="E87" s="79">
        <f t="shared" si="610"/>
        <v>0</v>
      </c>
      <c r="F87" s="79">
        <f t="shared" si="610"/>
        <v>43.7</v>
      </c>
      <c r="G87" s="79">
        <f t="shared" si="610"/>
        <v>55</v>
      </c>
      <c r="H87" s="79">
        <f t="shared" si="610"/>
        <v>0</v>
      </c>
      <c r="I87" s="79">
        <f t="shared" si="610"/>
        <v>160</v>
      </c>
      <c r="J87" s="79">
        <f t="shared" si="610"/>
        <v>0</v>
      </c>
      <c r="K87" s="79">
        <f t="shared" si="610"/>
        <v>0</v>
      </c>
      <c r="L87" s="79">
        <f t="shared" si="610"/>
        <v>26.2</v>
      </c>
      <c r="M87" s="79">
        <f t="shared" si="610"/>
        <v>85</v>
      </c>
      <c r="N87" s="79">
        <f t="shared" si="610"/>
        <v>111.2</v>
      </c>
      <c r="O87" s="79">
        <f t="shared" si="610"/>
        <v>1685.9</v>
      </c>
      <c r="P87" s="79">
        <f t="shared" si="610"/>
        <v>537</v>
      </c>
      <c r="Q87" s="79">
        <f t="shared" si="610"/>
        <v>2222.9</v>
      </c>
      <c r="R87" s="79">
        <f t="shared" si="610"/>
        <v>290</v>
      </c>
      <c r="S87" s="79">
        <f t="shared" si="610"/>
        <v>47.7</v>
      </c>
      <c r="T87" s="79">
        <f t="shared" si="610"/>
        <v>24.95</v>
      </c>
      <c r="U87" s="79">
        <f t="shared" ref="U87" si="611">+U85+U86</f>
        <v>0</v>
      </c>
      <c r="V87" s="79">
        <f t="shared" ref="V87" si="612">+V85+V86</f>
        <v>33</v>
      </c>
      <c r="W87" s="79">
        <f t="shared" ref="W87" si="613">+W85+W86</f>
        <v>0</v>
      </c>
      <c r="X87" s="79">
        <f t="shared" ref="X87" si="614">+X85+X86</f>
        <v>20.2</v>
      </c>
      <c r="Y87" s="115">
        <f t="shared" ref="Y87" si="615">+Y85+Y86</f>
        <v>6</v>
      </c>
      <c r="Z87" s="79">
        <f t="shared" ref="Z87" si="616">+Z85+Z86</f>
        <v>333.75</v>
      </c>
      <c r="AA87" s="79">
        <f t="shared" ref="AA87" si="617">+AA85+AA86</f>
        <v>20.97</v>
      </c>
      <c r="AB87" s="79">
        <f t="shared" ref="AB87" si="618">+AB85+AB86</f>
        <v>0</v>
      </c>
      <c r="AC87" s="79">
        <f t="shared" ref="AC87" si="619">+AC85+AC86</f>
        <v>11.5</v>
      </c>
      <c r="AD87" s="79">
        <f t="shared" ref="AD87" si="620">+AD85+AD86</f>
        <v>27.599999999999998</v>
      </c>
      <c r="AE87" s="79">
        <f t="shared" ref="AE87" si="621">+AE85+AE86</f>
        <v>0</v>
      </c>
      <c r="AF87" s="79">
        <f t="shared" ref="AF87" si="622">+AF85+AF86</f>
        <v>0</v>
      </c>
      <c r="AG87" s="79">
        <f t="shared" ref="AG87" si="623">+AG85+AG86</f>
        <v>0</v>
      </c>
      <c r="AH87" s="79">
        <f t="shared" ref="AH87" si="624">+AH85+AH86</f>
        <v>104.10000000000001</v>
      </c>
      <c r="AI87" s="79">
        <f t="shared" ref="AI87" si="625">+AI85+AI86</f>
        <v>52.84</v>
      </c>
      <c r="AJ87" s="79">
        <f t="shared" ref="AJ87" si="626">+AJ85+AJ86</f>
        <v>6.58</v>
      </c>
      <c r="AK87" s="79">
        <f t="shared" ref="AK87" si="627">+AK85+AK86</f>
        <v>6.57</v>
      </c>
      <c r="AL87" s="79">
        <f t="shared" ref="AL87" si="628">+AL85+AL86</f>
        <v>14.4</v>
      </c>
      <c r="AM87" s="79">
        <f t="shared" ref="AM87" si="629">+AM85+AM86</f>
        <v>0</v>
      </c>
      <c r="AN87" s="79">
        <f t="shared" ref="AN87" si="630">+AN85+AN86</f>
        <v>0</v>
      </c>
      <c r="AO87" s="79">
        <f t="shared" ref="AO87" si="631">+AO85+AO86</f>
        <v>11.920000000000002</v>
      </c>
      <c r="AP87" s="79">
        <f t="shared" ref="AP87" si="632">+AP85+AP86</f>
        <v>364</v>
      </c>
      <c r="AQ87" s="79">
        <f t="shared" ref="AQ87" si="633">+AQ85+AQ86</f>
        <v>111.44</v>
      </c>
      <c r="AR87" s="79">
        <f t="shared" ref="AR87" si="634">+AR85+AR86</f>
        <v>5</v>
      </c>
      <c r="AS87" s="79">
        <f t="shared" ref="AS87" si="635">+AS85+AS86</f>
        <v>15.48</v>
      </c>
      <c r="AT87" s="79">
        <f t="shared" ref="AT87" si="636">+AT85+AT86</f>
        <v>40</v>
      </c>
      <c r="AU87" s="79">
        <f t="shared" ref="AU87" si="637">+AU85+AU86</f>
        <v>0</v>
      </c>
      <c r="AV87" s="79">
        <f t="shared" ref="AV87:BG87" si="638">+AV85+AV86</f>
        <v>2.75</v>
      </c>
      <c r="AW87" s="79">
        <f t="shared" si="638"/>
        <v>23.93</v>
      </c>
      <c r="AX87" s="79">
        <f t="shared" si="638"/>
        <v>0</v>
      </c>
      <c r="AY87" s="79">
        <f t="shared" si="638"/>
        <v>0</v>
      </c>
      <c r="AZ87" s="79">
        <f t="shared" si="638"/>
        <v>1091.8499999999999</v>
      </c>
      <c r="BA87" s="79">
        <f t="shared" si="638"/>
        <v>232.95</v>
      </c>
      <c r="BB87" s="79">
        <f t="shared" si="638"/>
        <v>36.53</v>
      </c>
      <c r="BC87" s="79">
        <f t="shared" si="638"/>
        <v>33.549999999999997</v>
      </c>
      <c r="BD87" s="79">
        <f t="shared" si="638"/>
        <v>115</v>
      </c>
      <c r="BE87" s="79">
        <f t="shared" si="638"/>
        <v>0</v>
      </c>
      <c r="BF87" s="79">
        <f t="shared" si="638"/>
        <v>22.95</v>
      </c>
      <c r="BG87" s="79">
        <f t="shared" si="638"/>
        <v>41.85</v>
      </c>
      <c r="BH87" s="79"/>
      <c r="BI87" s="79"/>
      <c r="BJ87" s="79"/>
      <c r="BK87" s="79"/>
    </row>
    <row r="88" spans="1:66" ht="20.100000000000001" customHeight="1" x14ac:dyDescent="0.35">
      <c r="A88" s="15">
        <v>64</v>
      </c>
      <c r="B88" s="16" t="s">
        <v>55</v>
      </c>
      <c r="C88" s="21">
        <v>709</v>
      </c>
      <c r="D88" s="26">
        <v>525</v>
      </c>
      <c r="E88" s="19"/>
      <c r="F88" s="67">
        <v>25</v>
      </c>
      <c r="G88" s="68">
        <v>20</v>
      </c>
      <c r="H88" s="19"/>
      <c r="I88" s="26">
        <v>35</v>
      </c>
      <c r="J88" s="26">
        <v>20</v>
      </c>
      <c r="K88" s="19"/>
      <c r="L88" s="36">
        <v>85</v>
      </c>
      <c r="M88" s="36">
        <v>68.5</v>
      </c>
      <c r="N88" s="19">
        <f t="shared" si="5"/>
        <v>153.5</v>
      </c>
      <c r="O88" s="19">
        <f t="shared" ref="O88:P90" si="639">C88+F88+I88+L88</f>
        <v>854</v>
      </c>
      <c r="P88" s="20">
        <f t="shared" si="639"/>
        <v>633.5</v>
      </c>
      <c r="Q88" s="19">
        <f t="shared" ref="Q88:Q169" si="640">O88+P88</f>
        <v>1487.5</v>
      </c>
      <c r="R88" s="17">
        <v>142.25</v>
      </c>
      <c r="S88" s="17">
        <v>420</v>
      </c>
      <c r="T88" s="17">
        <v>6.25</v>
      </c>
      <c r="U88" s="17">
        <v>0</v>
      </c>
      <c r="V88" s="17">
        <v>8.75</v>
      </c>
      <c r="W88" s="17">
        <v>3</v>
      </c>
      <c r="X88" s="17">
        <v>21.25</v>
      </c>
      <c r="Y88" s="113">
        <v>45</v>
      </c>
      <c r="Z88" s="127">
        <v>161.49</v>
      </c>
      <c r="AA88" s="127">
        <v>0</v>
      </c>
      <c r="AB88" s="127">
        <v>2.4900000000000002</v>
      </c>
      <c r="AC88" s="127">
        <v>4.18</v>
      </c>
      <c r="AD88" s="127">
        <v>5.6</v>
      </c>
      <c r="AE88" s="127">
        <v>0.34999999999999987</v>
      </c>
      <c r="AF88" s="127"/>
      <c r="AG88" s="127"/>
      <c r="AH88" s="127">
        <v>50.69</v>
      </c>
      <c r="AI88" s="127">
        <v>69.88</v>
      </c>
      <c r="AJ88" s="127">
        <v>3.77</v>
      </c>
      <c r="AK88" s="127">
        <v>2.39</v>
      </c>
      <c r="AL88" s="127">
        <v>3.15</v>
      </c>
      <c r="AM88" s="127">
        <v>3.0300000000000002</v>
      </c>
      <c r="AN88" s="127">
        <v>13.25</v>
      </c>
      <c r="AO88" s="127">
        <v>0</v>
      </c>
      <c r="AP88" s="127">
        <v>177.25</v>
      </c>
      <c r="AQ88" s="127">
        <v>35.120000000000005</v>
      </c>
      <c r="AR88" s="127">
        <v>6.25</v>
      </c>
      <c r="AS88" s="127">
        <v>5.62</v>
      </c>
      <c r="AT88" s="127">
        <v>8.75</v>
      </c>
      <c r="AU88" s="127">
        <v>5.63</v>
      </c>
      <c r="AV88" s="127">
        <v>21.23</v>
      </c>
      <c r="AW88" s="127">
        <v>19.28</v>
      </c>
      <c r="AX88" s="127"/>
      <c r="AY88" s="127"/>
      <c r="AZ88" s="127">
        <f t="shared" si="501"/>
        <v>531.68000000000006</v>
      </c>
      <c r="BA88" s="127">
        <f t="shared" si="355"/>
        <v>525</v>
      </c>
      <c r="BB88" s="127">
        <f t="shared" si="531"/>
        <v>18.759999999999998</v>
      </c>
      <c r="BC88" s="127">
        <f t="shared" si="531"/>
        <v>12.19</v>
      </c>
      <c r="BD88" s="127">
        <f t="shared" si="531"/>
        <v>26.25</v>
      </c>
      <c r="BE88" s="127">
        <f t="shared" si="444"/>
        <v>12.01</v>
      </c>
      <c r="BF88" s="127">
        <f t="shared" si="444"/>
        <v>55.730000000000004</v>
      </c>
      <c r="BG88" s="127">
        <f t="shared" si="444"/>
        <v>64.28</v>
      </c>
      <c r="BH88" s="2"/>
      <c r="BI88" s="2"/>
      <c r="BJ88" s="2"/>
      <c r="BK88" s="2"/>
    </row>
    <row r="89" spans="1:66" ht="20.100000000000001" customHeight="1" x14ac:dyDescent="0.35">
      <c r="A89" s="15">
        <v>65</v>
      </c>
      <c r="B89" s="16" t="s">
        <v>56</v>
      </c>
      <c r="C89" s="21">
        <v>454</v>
      </c>
      <c r="D89" s="26">
        <v>1735</v>
      </c>
      <c r="E89" s="19"/>
      <c r="F89" s="67">
        <v>50</v>
      </c>
      <c r="G89" s="68">
        <v>50</v>
      </c>
      <c r="H89" s="19"/>
      <c r="I89" s="26">
        <v>75</v>
      </c>
      <c r="J89" s="26">
        <v>0</v>
      </c>
      <c r="K89" s="19"/>
      <c r="L89" s="36">
        <v>50</v>
      </c>
      <c r="M89" s="36">
        <v>150</v>
      </c>
      <c r="N89" s="19">
        <f t="shared" ref="N89" si="641">L89+M89</f>
        <v>200</v>
      </c>
      <c r="O89" s="19">
        <f t="shared" si="639"/>
        <v>629</v>
      </c>
      <c r="P89" s="20">
        <f t="shared" si="639"/>
        <v>1935</v>
      </c>
      <c r="Q89" s="19">
        <f t="shared" si="640"/>
        <v>2564</v>
      </c>
      <c r="R89" s="17">
        <v>142.25</v>
      </c>
      <c r="S89" s="17">
        <v>540</v>
      </c>
      <c r="T89" s="17">
        <v>8.75</v>
      </c>
      <c r="U89" s="17">
        <v>0</v>
      </c>
      <c r="V89" s="17">
        <v>6.25</v>
      </c>
      <c r="W89" s="17">
        <v>0</v>
      </c>
      <c r="X89" s="17">
        <v>21.25</v>
      </c>
      <c r="Y89" s="113">
        <v>45</v>
      </c>
      <c r="Z89" s="127">
        <v>52.240000000000009</v>
      </c>
      <c r="AA89" s="127">
        <v>0</v>
      </c>
      <c r="AB89" s="127">
        <v>3.6999999999999993</v>
      </c>
      <c r="AC89" s="127">
        <v>10.46</v>
      </c>
      <c r="AD89" s="127">
        <v>24.5</v>
      </c>
      <c r="AE89" s="127">
        <v>0</v>
      </c>
      <c r="AF89" s="127"/>
      <c r="AG89" s="127"/>
      <c r="AH89" s="127">
        <v>32.46</v>
      </c>
      <c r="AI89" s="127">
        <v>231.43</v>
      </c>
      <c r="AJ89" s="127">
        <v>7.49</v>
      </c>
      <c r="AK89" s="127">
        <v>6.01</v>
      </c>
      <c r="AL89" s="127">
        <v>6.75</v>
      </c>
      <c r="AM89" s="127">
        <v>0</v>
      </c>
      <c r="AN89" s="127">
        <v>3.25</v>
      </c>
      <c r="AO89" s="127">
        <v>2.2700000000000005</v>
      </c>
      <c r="AP89" s="127">
        <v>113.5</v>
      </c>
      <c r="AQ89" s="127">
        <v>486.5</v>
      </c>
      <c r="AR89" s="127">
        <v>12.5</v>
      </c>
      <c r="AS89" s="127">
        <v>14.040000000000001</v>
      </c>
      <c r="AT89" s="127">
        <v>18.75</v>
      </c>
      <c r="AU89" s="127">
        <v>0</v>
      </c>
      <c r="AV89" s="127">
        <v>12.5</v>
      </c>
      <c r="AW89" s="127">
        <v>42.18</v>
      </c>
      <c r="AX89" s="127"/>
      <c r="AY89" s="127"/>
      <c r="AZ89" s="127">
        <f t="shared" si="501"/>
        <v>340.45000000000005</v>
      </c>
      <c r="BA89" s="127">
        <f t="shared" si="355"/>
        <v>1257.93</v>
      </c>
      <c r="BB89" s="127">
        <f t="shared" si="531"/>
        <v>32.44</v>
      </c>
      <c r="BC89" s="127">
        <f t="shared" si="531"/>
        <v>30.51</v>
      </c>
      <c r="BD89" s="127">
        <f t="shared" si="531"/>
        <v>56.25</v>
      </c>
      <c r="BE89" s="127">
        <f t="shared" si="444"/>
        <v>0</v>
      </c>
      <c r="BF89" s="127">
        <f t="shared" si="444"/>
        <v>37</v>
      </c>
      <c r="BG89" s="127">
        <f t="shared" si="444"/>
        <v>89.45</v>
      </c>
      <c r="BH89" s="2"/>
      <c r="BI89" s="2"/>
      <c r="BJ89" s="2"/>
      <c r="BK89" s="2"/>
    </row>
    <row r="90" spans="1:66" ht="20.100000000000001" customHeight="1" x14ac:dyDescent="0.35">
      <c r="A90" s="15">
        <v>66</v>
      </c>
      <c r="B90" s="106" t="s">
        <v>269</v>
      </c>
      <c r="C90" s="17">
        <v>22</v>
      </c>
      <c r="D90" s="26">
        <v>28</v>
      </c>
      <c r="E90" s="19"/>
      <c r="F90" s="67">
        <v>0</v>
      </c>
      <c r="G90" s="68">
        <v>0</v>
      </c>
      <c r="H90" s="19"/>
      <c r="I90" s="26">
        <v>0</v>
      </c>
      <c r="J90" s="26">
        <v>0</v>
      </c>
      <c r="K90" s="19"/>
      <c r="L90" s="36">
        <v>0</v>
      </c>
      <c r="M90" s="36">
        <v>0</v>
      </c>
      <c r="N90" s="19">
        <f>L90+M90</f>
        <v>0</v>
      </c>
      <c r="O90" s="19">
        <f t="shared" si="639"/>
        <v>22</v>
      </c>
      <c r="P90" s="20">
        <f t="shared" si="639"/>
        <v>28</v>
      </c>
      <c r="Q90" s="19">
        <f>O90+P90</f>
        <v>50</v>
      </c>
      <c r="R90" s="103"/>
      <c r="S90" s="17"/>
      <c r="T90" s="17"/>
      <c r="U90" s="17"/>
      <c r="V90" s="17"/>
      <c r="W90" s="17"/>
      <c r="X90" s="17"/>
      <c r="Y90" s="113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>
        <f t="shared" si="501"/>
        <v>0</v>
      </c>
      <c r="BA90" s="127">
        <f t="shared" si="355"/>
        <v>0</v>
      </c>
      <c r="BB90" s="127">
        <f t="shared" si="531"/>
        <v>0</v>
      </c>
      <c r="BC90" s="127">
        <f t="shared" si="531"/>
        <v>0</v>
      </c>
      <c r="BD90" s="127">
        <f t="shared" si="531"/>
        <v>0</v>
      </c>
      <c r="BE90" s="127">
        <f t="shared" si="444"/>
        <v>0</v>
      </c>
      <c r="BF90" s="127">
        <f t="shared" si="444"/>
        <v>0</v>
      </c>
      <c r="BG90" s="127">
        <f t="shared" si="444"/>
        <v>0</v>
      </c>
      <c r="BH90" s="2"/>
      <c r="BI90" s="2"/>
      <c r="BJ90" s="2"/>
      <c r="BK90" s="2"/>
      <c r="BL90" s="8">
        <f>897.07-AA91</f>
        <v>34.540000000000532</v>
      </c>
    </row>
    <row r="91" spans="1:66" s="34" customFormat="1" ht="20.100000000000001" customHeight="1" x14ac:dyDescent="0.3">
      <c r="A91" s="31"/>
      <c r="B91" s="74" t="s">
        <v>57</v>
      </c>
      <c r="C91" s="33">
        <f t="shared" ref="C91:T91" si="642">+C90+C89+C88+C87+C84+C81+C77+C73+C70+C67+C64+C61+C58+C54+C51+C46+C47+C45+C41+C38+C35+C31+C28+C27+C19+C16+C13+C10</f>
        <v>37000.000000000007</v>
      </c>
      <c r="D91" s="33">
        <f t="shared" si="642"/>
        <v>19400</v>
      </c>
      <c r="E91" s="33" t="e">
        <f t="shared" si="642"/>
        <v>#REF!</v>
      </c>
      <c r="F91" s="33">
        <f t="shared" si="642"/>
        <v>1650</v>
      </c>
      <c r="G91" s="33">
        <f t="shared" si="642"/>
        <v>5070</v>
      </c>
      <c r="H91" s="33" t="e">
        <f t="shared" si="642"/>
        <v>#REF!</v>
      </c>
      <c r="I91" s="33">
        <f t="shared" si="642"/>
        <v>1929.9999999999995</v>
      </c>
      <c r="J91" s="33">
        <f t="shared" si="642"/>
        <v>110</v>
      </c>
      <c r="K91" s="33">
        <f t="shared" si="642"/>
        <v>81.86</v>
      </c>
      <c r="L91" s="33">
        <f t="shared" si="642"/>
        <v>3940</v>
      </c>
      <c r="M91" s="33">
        <f t="shared" si="642"/>
        <v>1700</v>
      </c>
      <c r="N91" s="33">
        <f t="shared" si="642"/>
        <v>5640.0000000000009</v>
      </c>
      <c r="O91" s="33">
        <f t="shared" si="642"/>
        <v>44520</v>
      </c>
      <c r="P91" s="33">
        <f t="shared" si="642"/>
        <v>26280</v>
      </c>
      <c r="Q91" s="33">
        <f t="shared" si="642"/>
        <v>70800</v>
      </c>
      <c r="R91" s="33">
        <f t="shared" si="642"/>
        <v>9250</v>
      </c>
      <c r="S91" s="33">
        <f t="shared" si="642"/>
        <v>2910.0000000000005</v>
      </c>
      <c r="T91" s="33">
        <f t="shared" si="642"/>
        <v>412.5</v>
      </c>
      <c r="U91" s="33">
        <f t="shared" ref="U91:BG91" si="643">+U90+U89+U88+U87+U84+U81+U77+U73+U70+U67+U64+U61+U58+U54+U51+U46+U47+U45+U41+U38+U35+U31+U28+U27+U19+U16+U13+U10</f>
        <v>760.5</v>
      </c>
      <c r="V91" s="33">
        <f t="shared" si="643"/>
        <v>482.5</v>
      </c>
      <c r="W91" s="33">
        <f t="shared" si="643"/>
        <v>16.5</v>
      </c>
      <c r="X91" s="33">
        <f t="shared" si="643"/>
        <v>985</v>
      </c>
      <c r="Y91" s="117">
        <f t="shared" si="643"/>
        <v>255</v>
      </c>
      <c r="Z91" s="33">
        <f t="shared" si="643"/>
        <v>6306.37</v>
      </c>
      <c r="AA91" s="33">
        <f t="shared" si="643"/>
        <v>862.52999999999952</v>
      </c>
      <c r="AB91" s="33">
        <f t="shared" si="643"/>
        <v>164</v>
      </c>
      <c r="AC91" s="33">
        <f t="shared" si="643"/>
        <v>300</v>
      </c>
      <c r="AD91" s="33">
        <f t="shared" si="643"/>
        <v>308.8</v>
      </c>
      <c r="AE91" s="33">
        <f t="shared" si="643"/>
        <v>2.9299999999999997</v>
      </c>
      <c r="AF91" s="33">
        <f t="shared" si="643"/>
        <v>0</v>
      </c>
      <c r="AG91" s="33">
        <f t="shared" si="643"/>
        <v>0</v>
      </c>
      <c r="AH91" s="33">
        <f t="shared" si="643"/>
        <v>2585.6200000000003</v>
      </c>
      <c r="AI91" s="33">
        <f t="shared" si="643"/>
        <v>2555.3399999999997</v>
      </c>
      <c r="AJ91" s="33">
        <f t="shared" si="643"/>
        <v>248.5</v>
      </c>
      <c r="AK91" s="33">
        <f t="shared" si="643"/>
        <v>605</v>
      </c>
      <c r="AL91" s="33">
        <f t="shared" si="643"/>
        <v>173.70000000000002</v>
      </c>
      <c r="AM91" s="33">
        <f t="shared" si="643"/>
        <v>16.71</v>
      </c>
      <c r="AN91" s="33">
        <f t="shared" si="643"/>
        <v>985</v>
      </c>
      <c r="AO91" s="33">
        <f t="shared" si="643"/>
        <v>303.4500000000001</v>
      </c>
      <c r="AP91" s="33">
        <f t="shared" si="643"/>
        <v>9000.25</v>
      </c>
      <c r="AQ91" s="33">
        <f t="shared" si="643"/>
        <v>5226.4600000000019</v>
      </c>
      <c r="AR91" s="33">
        <f t="shared" si="643"/>
        <v>360.31</v>
      </c>
      <c r="AS91" s="33">
        <f t="shared" si="643"/>
        <v>1427.2000000000003</v>
      </c>
      <c r="AT91" s="33">
        <f t="shared" si="643"/>
        <v>465.52000000000004</v>
      </c>
      <c r="AU91" s="33">
        <f t="shared" si="643"/>
        <v>29.279999999999998</v>
      </c>
      <c r="AV91" s="33">
        <f t="shared" si="643"/>
        <v>927.92000000000007</v>
      </c>
      <c r="AW91" s="33">
        <f t="shared" si="643"/>
        <v>464.18999999999994</v>
      </c>
      <c r="AX91" s="33">
        <f t="shared" si="643"/>
        <v>49.85</v>
      </c>
      <c r="AY91" s="33">
        <f t="shared" si="643"/>
        <v>56.5</v>
      </c>
      <c r="AZ91" s="33">
        <f t="shared" si="643"/>
        <v>27192.09</v>
      </c>
      <c r="BA91" s="33">
        <f t="shared" si="643"/>
        <v>11610.83</v>
      </c>
      <c r="BB91" s="33">
        <f t="shared" si="643"/>
        <v>1185.31</v>
      </c>
      <c r="BC91" s="33">
        <f t="shared" si="643"/>
        <v>3092.7</v>
      </c>
      <c r="BD91" s="33">
        <f t="shared" si="643"/>
        <v>1430.52</v>
      </c>
      <c r="BE91" s="33">
        <f t="shared" si="643"/>
        <v>65.419999999999987</v>
      </c>
      <c r="BF91" s="33">
        <f t="shared" si="643"/>
        <v>2897.9200000000005</v>
      </c>
      <c r="BG91" s="33">
        <f t="shared" si="643"/>
        <v>1022.64</v>
      </c>
      <c r="BH91" s="33"/>
      <c r="BI91" s="33"/>
      <c r="BJ91" s="33"/>
      <c r="BK91" s="33"/>
    </row>
    <row r="92" spans="1:66" ht="20.100000000000001" customHeight="1" x14ac:dyDescent="0.3">
      <c r="A92" s="15">
        <v>1</v>
      </c>
      <c r="B92" s="16" t="s">
        <v>58</v>
      </c>
      <c r="C92" s="17">
        <v>400</v>
      </c>
      <c r="D92" s="17">
        <v>100</v>
      </c>
      <c r="E92" s="19" t="e">
        <f>C92+D92+#REF!+#REF!</f>
        <v>#REF!</v>
      </c>
      <c r="F92" s="17">
        <v>0</v>
      </c>
      <c r="G92" s="28">
        <v>0</v>
      </c>
      <c r="H92" s="19" t="e">
        <f>F92+G92+#REF!</f>
        <v>#REF!</v>
      </c>
      <c r="I92" s="17">
        <v>75</v>
      </c>
      <c r="J92" s="17">
        <v>0</v>
      </c>
      <c r="K92" s="19">
        <f t="shared" ref="K92:K135" si="644">I92+J92</f>
        <v>75</v>
      </c>
      <c r="L92" s="28">
        <v>0</v>
      </c>
      <c r="M92" s="28">
        <v>0</v>
      </c>
      <c r="N92" s="19">
        <f t="shared" ref="N92:N99" si="645">L92+M92</f>
        <v>0</v>
      </c>
      <c r="O92" s="19">
        <f t="shared" ref="O92:P94" si="646">C92+F92+I92+L92</f>
        <v>475</v>
      </c>
      <c r="P92" s="20">
        <f t="shared" si="646"/>
        <v>100</v>
      </c>
      <c r="Q92" s="19">
        <f t="shared" si="640"/>
        <v>575</v>
      </c>
      <c r="R92" s="17">
        <v>127.4</v>
      </c>
      <c r="S92" s="17">
        <v>15</v>
      </c>
      <c r="T92" s="17">
        <v>0</v>
      </c>
      <c r="U92" s="17">
        <v>0</v>
      </c>
      <c r="V92" s="17">
        <v>5</v>
      </c>
      <c r="W92" s="17">
        <v>0</v>
      </c>
      <c r="X92" s="17">
        <v>0</v>
      </c>
      <c r="Y92" s="113">
        <v>0</v>
      </c>
      <c r="Z92" s="127">
        <f>ROUND(C92*42.9%-R92,2)</f>
        <v>44.2</v>
      </c>
      <c r="AA92" s="127">
        <f>ROUND(D92*21.96%-S92,2)-0.04</f>
        <v>6.92</v>
      </c>
      <c r="AB92" s="127">
        <f>ROUND(F92*32.94%-T92,2)</f>
        <v>0</v>
      </c>
      <c r="AC92" s="127">
        <f>ROUND(G92*21.85%-U92,2)</f>
        <v>0</v>
      </c>
      <c r="AD92" s="128">
        <f>ROUND(I92*41%-V92,2)-6.1</f>
        <v>19.649999999999999</v>
      </c>
      <c r="AE92" s="127">
        <f>ROUND(J92*21.86%-W92,2)</f>
        <v>0</v>
      </c>
      <c r="AF92" s="127">
        <v>0</v>
      </c>
      <c r="AG92" s="127">
        <v>0</v>
      </c>
      <c r="AH92" s="127">
        <f>ROUND(C92*7%,2)+1</f>
        <v>29</v>
      </c>
      <c r="AI92" s="127">
        <f>ROUND(D92*11%,2)-0.5</f>
        <v>10.5</v>
      </c>
      <c r="AJ92" s="127">
        <f>ROUND(F92*17%,2)</f>
        <v>0</v>
      </c>
      <c r="AK92" s="127">
        <f>ROUND(G92*11%,2)</f>
        <v>0</v>
      </c>
      <c r="AL92" s="127">
        <f>ROUND(I92*9%,2)</f>
        <v>6.75</v>
      </c>
      <c r="AM92" s="127">
        <f>ROUND(J92*11%,2)</f>
        <v>0</v>
      </c>
      <c r="AN92" s="127">
        <f>ROUND(L92*25%,2)</f>
        <v>0</v>
      </c>
      <c r="AO92" s="127">
        <f>ROUND(M92*18%,2)</f>
        <v>0</v>
      </c>
      <c r="AP92" s="127">
        <f>ROUND(C92*25%,2)</f>
        <v>100</v>
      </c>
      <c r="AQ92" s="127">
        <f>ROUND(D92*28.15%,2)</f>
        <v>28.15</v>
      </c>
      <c r="AR92" s="127">
        <f>ROUND(F92*25%,2)</f>
        <v>0</v>
      </c>
      <c r="AS92" s="127">
        <f>ROUND(G92*28.15%,2)</f>
        <v>0</v>
      </c>
      <c r="AT92" s="127">
        <f>ROUND(I92*25%,2)</f>
        <v>18.75</v>
      </c>
      <c r="AU92" s="127">
        <f>ROUND(J92*28.14%,2)</f>
        <v>0</v>
      </c>
      <c r="AV92" s="127">
        <f>ROUND(L92*25%,2)</f>
        <v>0</v>
      </c>
      <c r="AW92" s="127">
        <f>ROUND(M92*28.15%,2)</f>
        <v>0</v>
      </c>
      <c r="AX92" s="127"/>
      <c r="AY92" s="127"/>
      <c r="AZ92" s="127">
        <f t="shared" si="501"/>
        <v>300.60000000000002</v>
      </c>
      <c r="BA92" s="127">
        <f t="shared" si="355"/>
        <v>60.57</v>
      </c>
      <c r="BB92" s="127">
        <f t="shared" si="531"/>
        <v>0</v>
      </c>
      <c r="BC92" s="127">
        <f t="shared" si="531"/>
        <v>0</v>
      </c>
      <c r="BD92" s="127">
        <f t="shared" si="531"/>
        <v>50.15</v>
      </c>
      <c r="BE92" s="127">
        <f t="shared" si="444"/>
        <v>0</v>
      </c>
      <c r="BF92" s="127">
        <f t="shared" si="444"/>
        <v>0</v>
      </c>
      <c r="BG92" s="127">
        <f t="shared" si="444"/>
        <v>0</v>
      </c>
      <c r="BH92" s="2"/>
      <c r="BI92" s="2"/>
      <c r="BJ92" s="2"/>
      <c r="BK92" s="2"/>
      <c r="BL92" s="8" t="e">
        <f>ROUND(F92-#REF!,2)</f>
        <v>#REF!</v>
      </c>
      <c r="BM92" s="8" t="e">
        <f>ROUND(I92-#REF!,2)</f>
        <v>#REF!</v>
      </c>
    </row>
    <row r="93" spans="1:66" ht="20.100000000000001" customHeight="1" x14ac:dyDescent="0.3">
      <c r="A93" s="15">
        <v>2</v>
      </c>
      <c r="B93" s="16" t="s">
        <v>59</v>
      </c>
      <c r="C93" s="17">
        <v>475</v>
      </c>
      <c r="D93" s="17">
        <v>0</v>
      </c>
      <c r="E93" s="19" t="e">
        <f>C93+D93+#REF!+#REF!</f>
        <v>#REF!</v>
      </c>
      <c r="F93" s="17">
        <v>0</v>
      </c>
      <c r="G93" s="28">
        <v>0</v>
      </c>
      <c r="H93" s="19" t="e">
        <f>F93+G93+#REF!</f>
        <v>#REF!</v>
      </c>
      <c r="I93" s="17">
        <v>31</v>
      </c>
      <c r="J93" s="17">
        <v>0</v>
      </c>
      <c r="K93" s="19">
        <f t="shared" si="644"/>
        <v>31</v>
      </c>
      <c r="L93" s="28">
        <v>30</v>
      </c>
      <c r="M93" s="28">
        <v>2</v>
      </c>
      <c r="N93" s="19">
        <f t="shared" si="645"/>
        <v>32</v>
      </c>
      <c r="O93" s="19">
        <f t="shared" si="646"/>
        <v>536</v>
      </c>
      <c r="P93" s="20">
        <f t="shared" si="646"/>
        <v>2</v>
      </c>
      <c r="Q93" s="19">
        <f t="shared" si="640"/>
        <v>538</v>
      </c>
      <c r="R93" s="17">
        <v>81.599999999999994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3.75</v>
      </c>
      <c r="Y93" s="113">
        <v>0.3</v>
      </c>
      <c r="Z93" s="127">
        <f t="shared" ref="Z93:Z134" si="647">ROUND(C93*42.9%-R93,2)</f>
        <v>122.18</v>
      </c>
      <c r="AA93" s="127">
        <f>ROUND(D93*21.96%-S93,2)</f>
        <v>0</v>
      </c>
      <c r="AB93" s="127">
        <f t="shared" ref="AB93:AB135" si="648">ROUND(F93*32.94%-T93,2)</f>
        <v>0</v>
      </c>
      <c r="AC93" s="127">
        <f t="shared" ref="AC93:AC135" si="649">ROUND(G93*21.85%-U93,2)</f>
        <v>0</v>
      </c>
      <c r="AD93" s="127">
        <f t="shared" ref="AD93:AD135" si="650">ROUND(I93*41%-V93,2)</f>
        <v>12.71</v>
      </c>
      <c r="AE93" s="127">
        <f t="shared" ref="AE93:AE135" si="651">ROUND(J93*21.86%-W93,2)</f>
        <v>0</v>
      </c>
      <c r="AF93" s="127">
        <v>0</v>
      </c>
      <c r="AG93" s="127">
        <v>0</v>
      </c>
      <c r="AH93" s="127">
        <f t="shared" ref="AH93:AH135" si="652">ROUND(C93*7%,2)</f>
        <v>33.25</v>
      </c>
      <c r="AI93" s="127">
        <f t="shared" ref="AI93:AI135" si="653">ROUND(D93*11%,2)</f>
        <v>0</v>
      </c>
      <c r="AJ93" s="127">
        <f t="shared" ref="AJ93:AJ135" si="654">ROUND(F93*17%,2)</f>
        <v>0</v>
      </c>
      <c r="AK93" s="127">
        <f t="shared" ref="AK93:AK135" si="655">ROUND(G93*11%,2)</f>
        <v>0</v>
      </c>
      <c r="AL93" s="127">
        <f t="shared" ref="AL93:AL156" si="656">ROUND(I93*9%,2)</f>
        <v>2.79</v>
      </c>
      <c r="AM93" s="127">
        <f t="shared" ref="AM93:AM135" si="657">ROUND(J93*11%,2)</f>
        <v>0</v>
      </c>
      <c r="AN93" s="127">
        <f t="shared" ref="AN93:AN156" si="658">ROUND(L93*25%,2)</f>
        <v>7.5</v>
      </c>
      <c r="AO93" s="127">
        <f>ROUND(M93*18%,2)-0.02</f>
        <v>0.33999999999999997</v>
      </c>
      <c r="AP93" s="127">
        <f t="shared" ref="AP93:AP156" si="659">ROUND(C93*25%,2)</f>
        <v>118.75</v>
      </c>
      <c r="AQ93" s="127">
        <f t="shared" ref="AQ93:AQ156" si="660">ROUND(D93*28.15%,2)</f>
        <v>0</v>
      </c>
      <c r="AR93" s="127">
        <f t="shared" ref="AR93:AR156" si="661">ROUND(F93*25%,2)</f>
        <v>0</v>
      </c>
      <c r="AS93" s="127">
        <f t="shared" ref="AS93:AS156" si="662">ROUND(G93*28.15%,2)</f>
        <v>0</v>
      </c>
      <c r="AT93" s="127">
        <f t="shared" ref="AT93:AT156" si="663">ROUND(I93*25%,2)</f>
        <v>7.75</v>
      </c>
      <c r="AU93" s="127">
        <f t="shared" ref="AU93:AU135" si="664">ROUND(J93*28.14%,2)</f>
        <v>0</v>
      </c>
      <c r="AV93" s="127">
        <f t="shared" ref="AV93:AV156" si="665">ROUND(L93*25%,2)</f>
        <v>7.5</v>
      </c>
      <c r="AW93" s="127">
        <f t="shared" ref="AW93:AW156" si="666">ROUND(M93*28.15%,2)</f>
        <v>0.56000000000000005</v>
      </c>
      <c r="AX93" s="127"/>
      <c r="AY93" s="127"/>
      <c r="AZ93" s="127">
        <f t="shared" si="501"/>
        <v>355.78</v>
      </c>
      <c r="BA93" s="127">
        <f t="shared" si="355"/>
        <v>0</v>
      </c>
      <c r="BB93" s="127">
        <f t="shared" si="531"/>
        <v>0</v>
      </c>
      <c r="BC93" s="127">
        <f t="shared" si="531"/>
        <v>0</v>
      </c>
      <c r="BD93" s="127">
        <f t="shared" si="531"/>
        <v>23.25</v>
      </c>
      <c r="BE93" s="127">
        <f t="shared" si="444"/>
        <v>0</v>
      </c>
      <c r="BF93" s="127">
        <f t="shared" si="444"/>
        <v>18.75</v>
      </c>
      <c r="BG93" s="127">
        <f t="shared" si="444"/>
        <v>1.2</v>
      </c>
      <c r="BH93" s="2"/>
      <c r="BI93" s="2"/>
      <c r="BJ93" s="2"/>
      <c r="BK93" s="2"/>
      <c r="BL93" s="8" t="e">
        <f>ROUND(F93-#REF!,2)</f>
        <v>#REF!</v>
      </c>
      <c r="BM93" s="8" t="e">
        <f>ROUND(I93-#REF!,2)</f>
        <v>#REF!</v>
      </c>
    </row>
    <row r="94" spans="1:66" ht="20.100000000000001" customHeight="1" x14ac:dyDescent="0.3">
      <c r="A94" s="15">
        <v>3</v>
      </c>
      <c r="B94" s="16" t="s">
        <v>60</v>
      </c>
      <c r="C94" s="17">
        <v>240</v>
      </c>
      <c r="D94" s="17">
        <v>0</v>
      </c>
      <c r="E94" s="19" t="e">
        <f>C94+D94+#REF!+#REF!</f>
        <v>#REF!</v>
      </c>
      <c r="F94" s="17">
        <v>0</v>
      </c>
      <c r="G94" s="28">
        <v>0</v>
      </c>
      <c r="H94" s="19" t="e">
        <f>F94+G94+#REF!</f>
        <v>#REF!</v>
      </c>
      <c r="I94" s="17">
        <v>5</v>
      </c>
      <c r="J94" s="17">
        <v>0</v>
      </c>
      <c r="K94" s="19">
        <f t="shared" si="644"/>
        <v>5</v>
      </c>
      <c r="L94" s="28">
        <v>25</v>
      </c>
      <c r="M94" s="28">
        <v>1</v>
      </c>
      <c r="N94" s="19">
        <f t="shared" si="645"/>
        <v>26</v>
      </c>
      <c r="O94" s="19">
        <f t="shared" si="646"/>
        <v>270</v>
      </c>
      <c r="P94" s="20">
        <f t="shared" si="646"/>
        <v>1</v>
      </c>
      <c r="Q94" s="19">
        <f t="shared" si="640"/>
        <v>271</v>
      </c>
      <c r="R94" s="17">
        <v>24</v>
      </c>
      <c r="S94" s="17">
        <v>0</v>
      </c>
      <c r="T94" s="17">
        <v>0</v>
      </c>
      <c r="U94" s="17">
        <v>0</v>
      </c>
      <c r="V94" s="17">
        <v>1.25</v>
      </c>
      <c r="W94" s="17">
        <v>0</v>
      </c>
      <c r="X94" s="17">
        <v>5</v>
      </c>
      <c r="Y94" s="113">
        <v>0.15</v>
      </c>
      <c r="Z94" s="127">
        <f t="shared" si="647"/>
        <v>78.959999999999994</v>
      </c>
      <c r="AA94" s="127">
        <f>ROUND(D94*21.96%-S94,2)</f>
        <v>0</v>
      </c>
      <c r="AB94" s="127">
        <f t="shared" si="648"/>
        <v>0</v>
      </c>
      <c r="AC94" s="127">
        <f t="shared" si="649"/>
        <v>0</v>
      </c>
      <c r="AD94" s="127">
        <f t="shared" si="650"/>
        <v>0.8</v>
      </c>
      <c r="AE94" s="127">
        <f t="shared" si="651"/>
        <v>0</v>
      </c>
      <c r="AF94" s="127">
        <v>0</v>
      </c>
      <c r="AG94" s="127">
        <v>0</v>
      </c>
      <c r="AH94" s="127">
        <f t="shared" si="652"/>
        <v>16.8</v>
      </c>
      <c r="AI94" s="127">
        <f t="shared" si="653"/>
        <v>0</v>
      </c>
      <c r="AJ94" s="127">
        <f t="shared" si="654"/>
        <v>0</v>
      </c>
      <c r="AK94" s="127">
        <f t="shared" si="655"/>
        <v>0</v>
      </c>
      <c r="AL94" s="127">
        <f t="shared" si="656"/>
        <v>0.45</v>
      </c>
      <c r="AM94" s="127">
        <f t="shared" si="657"/>
        <v>0</v>
      </c>
      <c r="AN94" s="127">
        <f t="shared" si="658"/>
        <v>6.25</v>
      </c>
      <c r="AO94" s="127">
        <f t="shared" ref="AO94:AO156" si="667">ROUND(M94*18%,2)</f>
        <v>0.18</v>
      </c>
      <c r="AP94" s="127">
        <f t="shared" si="659"/>
        <v>60</v>
      </c>
      <c r="AQ94" s="127">
        <f t="shared" si="660"/>
        <v>0</v>
      </c>
      <c r="AR94" s="127">
        <f t="shared" si="661"/>
        <v>0</v>
      </c>
      <c r="AS94" s="127">
        <f t="shared" si="662"/>
        <v>0</v>
      </c>
      <c r="AT94" s="127">
        <f t="shared" si="663"/>
        <v>1.25</v>
      </c>
      <c r="AU94" s="127">
        <f t="shared" si="664"/>
        <v>0</v>
      </c>
      <c r="AV94" s="127">
        <f t="shared" si="665"/>
        <v>6.25</v>
      </c>
      <c r="AW94" s="127">
        <f t="shared" si="666"/>
        <v>0.28000000000000003</v>
      </c>
      <c r="AX94" s="127"/>
      <c r="AY94" s="127"/>
      <c r="AZ94" s="127">
        <f t="shared" si="501"/>
        <v>179.76</v>
      </c>
      <c r="BA94" s="127">
        <f t="shared" si="355"/>
        <v>0</v>
      </c>
      <c r="BB94" s="127">
        <f t="shared" si="531"/>
        <v>0</v>
      </c>
      <c r="BC94" s="127">
        <f t="shared" si="531"/>
        <v>0</v>
      </c>
      <c r="BD94" s="127">
        <f t="shared" si="531"/>
        <v>3.75</v>
      </c>
      <c r="BE94" s="127">
        <f t="shared" si="444"/>
        <v>0</v>
      </c>
      <c r="BF94" s="127">
        <f t="shared" si="444"/>
        <v>17.5</v>
      </c>
      <c r="BG94" s="127">
        <f t="shared" si="444"/>
        <v>0.61</v>
      </c>
      <c r="BH94" s="2"/>
      <c r="BI94" s="2"/>
      <c r="BJ94" s="2"/>
      <c r="BK94" s="2"/>
      <c r="BL94" s="8" t="e">
        <f>ROUND(F94-#REF!,2)</f>
        <v>#REF!</v>
      </c>
      <c r="BM94" s="8" t="e">
        <f>ROUND(I94-#REF!,2)</f>
        <v>#REF!</v>
      </c>
    </row>
    <row r="95" spans="1:66" s="6" customFormat="1" ht="20.100000000000001" customHeight="1" x14ac:dyDescent="0.3">
      <c r="A95" s="76"/>
      <c r="B95" s="77" t="s">
        <v>59</v>
      </c>
      <c r="C95" s="78">
        <f>+C93+C94</f>
        <v>715</v>
      </c>
      <c r="D95" s="78">
        <f t="shared" ref="D95:J95" si="668">+D93+D94</f>
        <v>0</v>
      </c>
      <c r="E95" s="78" t="e">
        <f t="shared" si="668"/>
        <v>#REF!</v>
      </c>
      <c r="F95" s="78">
        <f t="shared" si="668"/>
        <v>0</v>
      </c>
      <c r="G95" s="78">
        <f t="shared" si="668"/>
        <v>0</v>
      </c>
      <c r="H95" s="78" t="e">
        <f t="shared" si="668"/>
        <v>#REF!</v>
      </c>
      <c r="I95" s="78">
        <f t="shared" si="668"/>
        <v>36</v>
      </c>
      <c r="J95" s="78">
        <f t="shared" si="668"/>
        <v>0</v>
      </c>
      <c r="K95" s="78">
        <f t="shared" ref="K95" si="669">+K93+K94</f>
        <v>36</v>
      </c>
      <c r="L95" s="78">
        <f t="shared" ref="L95" si="670">+L93+L94</f>
        <v>55</v>
      </c>
      <c r="M95" s="78">
        <f t="shared" ref="M95:BG95" si="671">+M93+M94</f>
        <v>3</v>
      </c>
      <c r="N95" s="78">
        <f t="shared" si="671"/>
        <v>58</v>
      </c>
      <c r="O95" s="78">
        <f t="shared" si="671"/>
        <v>806</v>
      </c>
      <c r="P95" s="78">
        <f t="shared" si="671"/>
        <v>3</v>
      </c>
      <c r="Q95" s="78">
        <f t="shared" si="671"/>
        <v>809</v>
      </c>
      <c r="R95" s="78">
        <f t="shared" si="671"/>
        <v>105.6</v>
      </c>
      <c r="S95" s="78">
        <f t="shared" si="671"/>
        <v>0</v>
      </c>
      <c r="T95" s="78">
        <f t="shared" si="671"/>
        <v>0</v>
      </c>
      <c r="U95" s="78">
        <f t="shared" si="671"/>
        <v>0</v>
      </c>
      <c r="V95" s="78">
        <f t="shared" si="671"/>
        <v>1.25</v>
      </c>
      <c r="W95" s="78">
        <f t="shared" si="671"/>
        <v>0</v>
      </c>
      <c r="X95" s="78">
        <f t="shared" si="671"/>
        <v>8.75</v>
      </c>
      <c r="Y95" s="114">
        <f t="shared" si="671"/>
        <v>0.44999999999999996</v>
      </c>
      <c r="Z95" s="78">
        <f t="shared" si="671"/>
        <v>201.14</v>
      </c>
      <c r="AA95" s="78">
        <f t="shared" si="671"/>
        <v>0</v>
      </c>
      <c r="AB95" s="78">
        <f t="shared" si="671"/>
        <v>0</v>
      </c>
      <c r="AC95" s="78">
        <f t="shared" si="671"/>
        <v>0</v>
      </c>
      <c r="AD95" s="78">
        <f t="shared" si="671"/>
        <v>13.510000000000002</v>
      </c>
      <c r="AE95" s="78">
        <f t="shared" si="671"/>
        <v>0</v>
      </c>
      <c r="AF95" s="78">
        <f t="shared" si="671"/>
        <v>0</v>
      </c>
      <c r="AG95" s="78">
        <f t="shared" si="671"/>
        <v>0</v>
      </c>
      <c r="AH95" s="78">
        <f t="shared" si="671"/>
        <v>50.05</v>
      </c>
      <c r="AI95" s="78">
        <f t="shared" si="671"/>
        <v>0</v>
      </c>
      <c r="AJ95" s="78">
        <f t="shared" si="671"/>
        <v>0</v>
      </c>
      <c r="AK95" s="78">
        <f t="shared" si="671"/>
        <v>0</v>
      </c>
      <c r="AL95" s="78">
        <f t="shared" si="671"/>
        <v>3.24</v>
      </c>
      <c r="AM95" s="78">
        <f t="shared" si="671"/>
        <v>0</v>
      </c>
      <c r="AN95" s="78">
        <f t="shared" si="671"/>
        <v>13.75</v>
      </c>
      <c r="AO95" s="78">
        <f t="shared" si="671"/>
        <v>0.52</v>
      </c>
      <c r="AP95" s="78">
        <f t="shared" si="671"/>
        <v>178.75</v>
      </c>
      <c r="AQ95" s="78">
        <f t="shared" si="671"/>
        <v>0</v>
      </c>
      <c r="AR95" s="78">
        <f t="shared" si="671"/>
        <v>0</v>
      </c>
      <c r="AS95" s="78">
        <f t="shared" si="671"/>
        <v>0</v>
      </c>
      <c r="AT95" s="78">
        <f t="shared" si="671"/>
        <v>9</v>
      </c>
      <c r="AU95" s="78">
        <f t="shared" si="671"/>
        <v>0</v>
      </c>
      <c r="AV95" s="78">
        <f t="shared" si="671"/>
        <v>13.75</v>
      </c>
      <c r="AW95" s="78">
        <f t="shared" si="671"/>
        <v>0.84000000000000008</v>
      </c>
      <c r="AX95" s="78">
        <f t="shared" si="671"/>
        <v>0</v>
      </c>
      <c r="AY95" s="78">
        <f t="shared" si="671"/>
        <v>0</v>
      </c>
      <c r="AZ95" s="78">
        <f t="shared" si="671"/>
        <v>535.54</v>
      </c>
      <c r="BA95" s="78">
        <f t="shared" si="671"/>
        <v>0</v>
      </c>
      <c r="BB95" s="78">
        <f t="shared" si="671"/>
        <v>0</v>
      </c>
      <c r="BC95" s="78">
        <f t="shared" si="671"/>
        <v>0</v>
      </c>
      <c r="BD95" s="78">
        <f t="shared" si="671"/>
        <v>27</v>
      </c>
      <c r="BE95" s="78">
        <f t="shared" si="671"/>
        <v>0</v>
      </c>
      <c r="BF95" s="78">
        <f t="shared" si="671"/>
        <v>36.25</v>
      </c>
      <c r="BG95" s="78">
        <f t="shared" si="671"/>
        <v>1.81</v>
      </c>
      <c r="BH95" s="78"/>
      <c r="BI95" s="78"/>
      <c r="BJ95" s="78"/>
      <c r="BK95" s="78"/>
      <c r="BL95" s="78" t="e">
        <f t="shared" ref="BL95:BN95" si="672">+BL93+BL94</f>
        <v>#REF!</v>
      </c>
      <c r="BM95" s="78" t="e">
        <f t="shared" si="672"/>
        <v>#REF!</v>
      </c>
      <c r="BN95" s="78">
        <f t="shared" si="672"/>
        <v>0</v>
      </c>
    </row>
    <row r="96" spans="1:66" ht="20.100000000000001" customHeight="1" x14ac:dyDescent="0.3">
      <c r="A96" s="15">
        <v>4</v>
      </c>
      <c r="B96" s="16" t="s">
        <v>61</v>
      </c>
      <c r="C96" s="17">
        <v>550</v>
      </c>
      <c r="D96" s="17">
        <v>70</v>
      </c>
      <c r="E96" s="19" t="e">
        <f>C96+D96+#REF!+#REF!</f>
        <v>#REF!</v>
      </c>
      <c r="F96" s="17">
        <v>0</v>
      </c>
      <c r="G96" s="28">
        <v>0</v>
      </c>
      <c r="H96" s="19" t="e">
        <f>F96+G96+#REF!</f>
        <v>#REF!</v>
      </c>
      <c r="I96" s="17">
        <v>14</v>
      </c>
      <c r="J96" s="17">
        <v>0</v>
      </c>
      <c r="K96" s="19">
        <f t="shared" si="644"/>
        <v>14</v>
      </c>
      <c r="L96" s="28">
        <v>68</v>
      </c>
      <c r="M96" s="28">
        <v>5</v>
      </c>
      <c r="N96" s="19">
        <f t="shared" si="645"/>
        <v>73</v>
      </c>
      <c r="O96" s="19">
        <f t="shared" ref="O96:P99" si="673">C96+F96+I96+L96</f>
        <v>632</v>
      </c>
      <c r="P96" s="20">
        <f t="shared" si="673"/>
        <v>75</v>
      </c>
      <c r="Q96" s="19">
        <f t="shared" si="640"/>
        <v>707</v>
      </c>
      <c r="R96" s="17">
        <v>137</v>
      </c>
      <c r="S96" s="17">
        <v>10.5</v>
      </c>
      <c r="T96" s="17">
        <v>0</v>
      </c>
      <c r="U96" s="17">
        <v>0</v>
      </c>
      <c r="V96" s="17">
        <v>3.5</v>
      </c>
      <c r="W96" s="17">
        <v>0</v>
      </c>
      <c r="X96" s="17">
        <v>17</v>
      </c>
      <c r="Y96" s="113">
        <v>0.75</v>
      </c>
      <c r="Z96" s="127">
        <f t="shared" si="647"/>
        <v>98.95</v>
      </c>
      <c r="AA96" s="128">
        <f>ROUND(D96*21.96%-S96,2)-0.02-0.77</f>
        <v>4.08</v>
      </c>
      <c r="AB96" s="127">
        <f t="shared" si="648"/>
        <v>0</v>
      </c>
      <c r="AC96" s="127">
        <f t="shared" si="649"/>
        <v>0</v>
      </c>
      <c r="AD96" s="127">
        <f t="shared" si="650"/>
        <v>2.2400000000000002</v>
      </c>
      <c r="AE96" s="127">
        <f t="shared" si="651"/>
        <v>0</v>
      </c>
      <c r="AF96" s="127">
        <v>0</v>
      </c>
      <c r="AG96" s="127">
        <v>0</v>
      </c>
      <c r="AH96" s="127">
        <f>ROUND(C96*7%,2)+1</f>
        <v>39.5</v>
      </c>
      <c r="AI96" s="127">
        <f t="shared" si="653"/>
        <v>7.7</v>
      </c>
      <c r="AJ96" s="127">
        <f t="shared" si="654"/>
        <v>0</v>
      </c>
      <c r="AK96" s="127">
        <f t="shared" si="655"/>
        <v>0</v>
      </c>
      <c r="AL96" s="127">
        <f t="shared" si="656"/>
        <v>1.26</v>
      </c>
      <c r="AM96" s="127">
        <f t="shared" si="657"/>
        <v>0</v>
      </c>
      <c r="AN96" s="127">
        <f t="shared" si="658"/>
        <v>17</v>
      </c>
      <c r="AO96" s="127">
        <f>ROUND(M96*18%,2)-0.01</f>
        <v>0.89</v>
      </c>
      <c r="AP96" s="127">
        <f t="shared" si="659"/>
        <v>137.5</v>
      </c>
      <c r="AQ96" s="127">
        <f t="shared" si="660"/>
        <v>19.71</v>
      </c>
      <c r="AR96" s="127">
        <f t="shared" si="661"/>
        <v>0</v>
      </c>
      <c r="AS96" s="127">
        <f t="shared" si="662"/>
        <v>0</v>
      </c>
      <c r="AT96" s="127">
        <f t="shared" si="663"/>
        <v>3.5</v>
      </c>
      <c r="AU96" s="127">
        <f t="shared" si="664"/>
        <v>0</v>
      </c>
      <c r="AV96" s="127">
        <f t="shared" si="665"/>
        <v>17</v>
      </c>
      <c r="AW96" s="127">
        <f t="shared" si="666"/>
        <v>1.41</v>
      </c>
      <c r="AX96" s="127"/>
      <c r="AY96" s="127"/>
      <c r="AZ96" s="127">
        <f t="shared" si="501"/>
        <v>412.95</v>
      </c>
      <c r="BA96" s="127">
        <f t="shared" si="355"/>
        <v>41.99</v>
      </c>
      <c r="BB96" s="127">
        <f t="shared" si="531"/>
        <v>0</v>
      </c>
      <c r="BC96" s="127">
        <f t="shared" si="531"/>
        <v>0</v>
      </c>
      <c r="BD96" s="127">
        <f t="shared" si="531"/>
        <v>10.5</v>
      </c>
      <c r="BE96" s="127">
        <f t="shared" si="444"/>
        <v>0</v>
      </c>
      <c r="BF96" s="127">
        <f t="shared" si="444"/>
        <v>51</v>
      </c>
      <c r="BG96" s="127">
        <f t="shared" si="444"/>
        <v>3.05</v>
      </c>
      <c r="BH96" s="2"/>
      <c r="BI96" s="2"/>
      <c r="BJ96" s="2"/>
      <c r="BK96" s="2"/>
      <c r="BL96" s="8" t="e">
        <f>ROUND(F96-#REF!,2)</f>
        <v>#REF!</v>
      </c>
      <c r="BM96" s="8" t="e">
        <f>ROUND(I96-#REF!,2)</f>
        <v>#REF!</v>
      </c>
    </row>
    <row r="97" spans="1:72" ht="20.100000000000001" customHeight="1" x14ac:dyDescent="0.3">
      <c r="A97" s="15">
        <v>5</v>
      </c>
      <c r="B97" s="16" t="s">
        <v>62</v>
      </c>
      <c r="C97" s="17">
        <v>350</v>
      </c>
      <c r="D97" s="17">
        <v>35</v>
      </c>
      <c r="E97" s="19" t="e">
        <f>C97+D97+#REF!+#REF!</f>
        <v>#REF!</v>
      </c>
      <c r="F97" s="17">
        <v>220</v>
      </c>
      <c r="G97" s="28">
        <v>75</v>
      </c>
      <c r="H97" s="19" t="e">
        <f>F97+G97+#REF!</f>
        <v>#REF!</v>
      </c>
      <c r="I97" s="17">
        <v>10</v>
      </c>
      <c r="J97" s="17">
        <v>0</v>
      </c>
      <c r="K97" s="19">
        <f t="shared" si="644"/>
        <v>10</v>
      </c>
      <c r="L97" s="28">
        <v>65</v>
      </c>
      <c r="M97" s="28">
        <v>0</v>
      </c>
      <c r="N97" s="19">
        <f t="shared" si="645"/>
        <v>65</v>
      </c>
      <c r="O97" s="19">
        <f t="shared" si="673"/>
        <v>645</v>
      </c>
      <c r="P97" s="20">
        <f t="shared" si="673"/>
        <v>110</v>
      </c>
      <c r="Q97" s="19">
        <f t="shared" si="640"/>
        <v>755</v>
      </c>
      <c r="R97" s="17">
        <v>96</v>
      </c>
      <c r="S97" s="17">
        <v>5.25</v>
      </c>
      <c r="T97" s="17">
        <v>45</v>
      </c>
      <c r="U97" s="17">
        <v>11.25</v>
      </c>
      <c r="V97" s="17">
        <v>2.5</v>
      </c>
      <c r="W97" s="17">
        <v>0</v>
      </c>
      <c r="X97" s="17">
        <v>3.75</v>
      </c>
      <c r="Y97" s="113">
        <v>0</v>
      </c>
      <c r="Z97" s="127">
        <f t="shared" si="647"/>
        <v>54.15</v>
      </c>
      <c r="AA97" s="127">
        <f t="shared" ref="AA97:AA134" si="674">ROUND(D97*21.96%-S97,2)-0.02</f>
        <v>2.42</v>
      </c>
      <c r="AB97" s="127">
        <f>ROUND(F97*32.94%-T97,2)-0.05</f>
        <v>27.419999999999998</v>
      </c>
      <c r="AC97" s="127">
        <f t="shared" si="649"/>
        <v>5.14</v>
      </c>
      <c r="AD97" s="127">
        <f t="shared" si="650"/>
        <v>1.6</v>
      </c>
      <c r="AE97" s="127">
        <f t="shared" si="651"/>
        <v>0</v>
      </c>
      <c r="AF97" s="127">
        <v>0</v>
      </c>
      <c r="AG97" s="127">
        <v>0</v>
      </c>
      <c r="AH97" s="127">
        <f t="shared" si="652"/>
        <v>24.5</v>
      </c>
      <c r="AI97" s="127">
        <f t="shared" si="653"/>
        <v>3.85</v>
      </c>
      <c r="AJ97" s="127">
        <f>ROUND(F97*17%,2)+0.5</f>
        <v>37.9</v>
      </c>
      <c r="AK97" s="127">
        <f t="shared" si="655"/>
        <v>8.25</v>
      </c>
      <c r="AL97" s="127">
        <f t="shared" si="656"/>
        <v>0.9</v>
      </c>
      <c r="AM97" s="127">
        <f t="shared" si="657"/>
        <v>0</v>
      </c>
      <c r="AN97" s="127">
        <f t="shared" si="658"/>
        <v>16.25</v>
      </c>
      <c r="AO97" s="127">
        <f t="shared" si="667"/>
        <v>0</v>
      </c>
      <c r="AP97" s="127">
        <f t="shared" si="659"/>
        <v>87.5</v>
      </c>
      <c r="AQ97" s="127">
        <f t="shared" si="660"/>
        <v>9.85</v>
      </c>
      <c r="AR97" s="127">
        <f t="shared" si="661"/>
        <v>55</v>
      </c>
      <c r="AS97" s="127">
        <f t="shared" si="662"/>
        <v>21.11</v>
      </c>
      <c r="AT97" s="127">
        <f t="shared" si="663"/>
        <v>2.5</v>
      </c>
      <c r="AU97" s="127">
        <f t="shared" si="664"/>
        <v>0</v>
      </c>
      <c r="AV97" s="127">
        <f t="shared" si="665"/>
        <v>16.25</v>
      </c>
      <c r="AW97" s="127">
        <f t="shared" si="666"/>
        <v>0</v>
      </c>
      <c r="AX97" s="127"/>
      <c r="AY97" s="127"/>
      <c r="AZ97" s="127">
        <f t="shared" si="501"/>
        <v>262.14999999999998</v>
      </c>
      <c r="BA97" s="127">
        <f t="shared" si="355"/>
        <v>21.369999999999997</v>
      </c>
      <c r="BB97" s="127">
        <f t="shared" si="531"/>
        <v>165.32</v>
      </c>
      <c r="BC97" s="127">
        <f t="shared" si="531"/>
        <v>45.75</v>
      </c>
      <c r="BD97" s="127">
        <f t="shared" si="531"/>
        <v>7.5</v>
      </c>
      <c r="BE97" s="127">
        <f t="shared" si="444"/>
        <v>0</v>
      </c>
      <c r="BF97" s="127">
        <f t="shared" si="444"/>
        <v>36.25</v>
      </c>
      <c r="BG97" s="127">
        <f t="shared" si="444"/>
        <v>0</v>
      </c>
      <c r="BH97" s="2"/>
      <c r="BI97" s="2"/>
      <c r="BJ97" s="2"/>
      <c r="BK97" s="2"/>
      <c r="BL97" s="8" t="e">
        <f>ROUND(F97-#REF!,2)</f>
        <v>#REF!</v>
      </c>
      <c r="BM97" s="8" t="e">
        <f>ROUND(I97-#REF!,2)</f>
        <v>#REF!</v>
      </c>
    </row>
    <row r="98" spans="1:72" ht="20.100000000000001" customHeight="1" x14ac:dyDescent="0.3">
      <c r="A98" s="15">
        <v>6</v>
      </c>
      <c r="B98" s="16" t="s">
        <v>63</v>
      </c>
      <c r="C98" s="17">
        <v>700</v>
      </c>
      <c r="D98" s="17">
        <v>200</v>
      </c>
      <c r="E98" s="19" t="e">
        <f>C98+D98+#REF!+#REF!</f>
        <v>#REF!</v>
      </c>
      <c r="F98" s="17">
        <v>75</v>
      </c>
      <c r="G98" s="28">
        <v>75</v>
      </c>
      <c r="H98" s="19" t="e">
        <f>F98+G98+#REF!</f>
        <v>#REF!</v>
      </c>
      <c r="I98" s="17">
        <v>40</v>
      </c>
      <c r="J98" s="17">
        <v>0</v>
      </c>
      <c r="K98" s="19">
        <f t="shared" si="644"/>
        <v>40</v>
      </c>
      <c r="L98" s="28">
        <v>25</v>
      </c>
      <c r="M98" s="28">
        <v>0</v>
      </c>
      <c r="N98" s="19">
        <f t="shared" si="645"/>
        <v>25</v>
      </c>
      <c r="O98" s="19">
        <f t="shared" si="673"/>
        <v>840</v>
      </c>
      <c r="P98" s="20">
        <f t="shared" si="673"/>
        <v>275</v>
      </c>
      <c r="Q98" s="19">
        <f t="shared" si="640"/>
        <v>1115</v>
      </c>
      <c r="R98" s="17">
        <v>289.16000000000003</v>
      </c>
      <c r="S98" s="17">
        <v>30</v>
      </c>
      <c r="T98" s="17">
        <v>18.75</v>
      </c>
      <c r="U98" s="17">
        <v>11.25</v>
      </c>
      <c r="V98" s="17">
        <v>2</v>
      </c>
      <c r="W98" s="17">
        <v>0</v>
      </c>
      <c r="X98" s="17">
        <v>2.5</v>
      </c>
      <c r="Y98" s="113">
        <v>0</v>
      </c>
      <c r="Z98" s="127">
        <f t="shared" si="647"/>
        <v>11.14</v>
      </c>
      <c r="AA98" s="127">
        <f t="shared" si="674"/>
        <v>13.9</v>
      </c>
      <c r="AB98" s="127">
        <f>ROUND(F98*32.94%-T98,2)-0.05</f>
        <v>5.91</v>
      </c>
      <c r="AC98" s="127">
        <f t="shared" si="649"/>
        <v>5.14</v>
      </c>
      <c r="AD98" s="127">
        <f t="shared" si="650"/>
        <v>14.4</v>
      </c>
      <c r="AE98" s="127">
        <f t="shared" si="651"/>
        <v>0</v>
      </c>
      <c r="AF98" s="127">
        <v>0</v>
      </c>
      <c r="AG98" s="127">
        <v>0</v>
      </c>
      <c r="AH98" s="127">
        <f>ROUND(C98*7%,2)+2</f>
        <v>51</v>
      </c>
      <c r="AI98" s="127">
        <f t="shared" si="653"/>
        <v>22</v>
      </c>
      <c r="AJ98" s="127">
        <f t="shared" si="654"/>
        <v>12.75</v>
      </c>
      <c r="AK98" s="127">
        <f t="shared" si="655"/>
        <v>8.25</v>
      </c>
      <c r="AL98" s="127">
        <f t="shared" si="656"/>
        <v>3.6</v>
      </c>
      <c r="AM98" s="127">
        <f t="shared" si="657"/>
        <v>0</v>
      </c>
      <c r="AN98" s="127">
        <f t="shared" si="658"/>
        <v>6.25</v>
      </c>
      <c r="AO98" s="127">
        <f t="shared" si="667"/>
        <v>0</v>
      </c>
      <c r="AP98" s="127">
        <f t="shared" si="659"/>
        <v>175</v>
      </c>
      <c r="AQ98" s="127">
        <f t="shared" si="660"/>
        <v>56.3</v>
      </c>
      <c r="AR98" s="127">
        <f t="shared" si="661"/>
        <v>18.75</v>
      </c>
      <c r="AS98" s="127">
        <f t="shared" si="662"/>
        <v>21.11</v>
      </c>
      <c r="AT98" s="127">
        <f t="shared" si="663"/>
        <v>10</v>
      </c>
      <c r="AU98" s="127">
        <f t="shared" si="664"/>
        <v>0</v>
      </c>
      <c r="AV98" s="127">
        <f t="shared" si="665"/>
        <v>6.25</v>
      </c>
      <c r="AW98" s="127">
        <f t="shared" si="666"/>
        <v>0</v>
      </c>
      <c r="AX98" s="127"/>
      <c r="AY98" s="127"/>
      <c r="AZ98" s="127">
        <f t="shared" si="501"/>
        <v>526.29999999999995</v>
      </c>
      <c r="BA98" s="127">
        <f t="shared" si="355"/>
        <v>122.2</v>
      </c>
      <c r="BB98" s="127">
        <f t="shared" si="531"/>
        <v>56.16</v>
      </c>
      <c r="BC98" s="127">
        <f t="shared" si="531"/>
        <v>45.75</v>
      </c>
      <c r="BD98" s="127">
        <f t="shared" si="531"/>
        <v>30</v>
      </c>
      <c r="BE98" s="127">
        <f t="shared" si="444"/>
        <v>0</v>
      </c>
      <c r="BF98" s="127">
        <f t="shared" si="444"/>
        <v>15</v>
      </c>
      <c r="BG98" s="127">
        <f t="shared" si="444"/>
        <v>0</v>
      </c>
      <c r="BH98" s="2"/>
      <c r="BI98" s="2"/>
      <c r="BJ98" s="2"/>
      <c r="BK98" s="2"/>
      <c r="BL98" s="8" t="e">
        <f>ROUND(F98-#REF!,2)</f>
        <v>#REF!</v>
      </c>
      <c r="BM98" s="8" t="e">
        <f>ROUND(I98-#REF!,2)</f>
        <v>#REF!</v>
      </c>
    </row>
    <row r="99" spans="1:72" ht="20.100000000000001" customHeight="1" x14ac:dyDescent="0.3">
      <c r="A99" s="15">
        <v>7</v>
      </c>
      <c r="B99" s="16" t="s">
        <v>64</v>
      </c>
      <c r="C99" s="17">
        <v>200</v>
      </c>
      <c r="D99" s="17">
        <v>10</v>
      </c>
      <c r="E99" s="19" t="e">
        <f>C99+D99+#REF!+#REF!</f>
        <v>#REF!</v>
      </c>
      <c r="F99" s="17">
        <v>0</v>
      </c>
      <c r="G99" s="28">
        <v>10</v>
      </c>
      <c r="H99" s="19" t="e">
        <f>F99+G99+#REF!</f>
        <v>#REF!</v>
      </c>
      <c r="I99" s="17">
        <v>10</v>
      </c>
      <c r="J99" s="17">
        <v>0</v>
      </c>
      <c r="K99" s="19">
        <f t="shared" si="644"/>
        <v>10</v>
      </c>
      <c r="L99" s="28">
        <v>20</v>
      </c>
      <c r="M99" s="28">
        <v>0</v>
      </c>
      <c r="N99" s="19">
        <f t="shared" si="645"/>
        <v>20</v>
      </c>
      <c r="O99" s="19">
        <f t="shared" si="673"/>
        <v>230</v>
      </c>
      <c r="P99" s="20">
        <f t="shared" si="673"/>
        <v>20</v>
      </c>
      <c r="Q99" s="19">
        <f t="shared" si="640"/>
        <v>250</v>
      </c>
      <c r="R99" s="17">
        <v>21.6</v>
      </c>
      <c r="S99" s="17">
        <v>1.5</v>
      </c>
      <c r="T99" s="17">
        <v>0</v>
      </c>
      <c r="U99" s="17">
        <v>1.5</v>
      </c>
      <c r="V99" s="17">
        <v>2.5</v>
      </c>
      <c r="W99" s="17">
        <v>0</v>
      </c>
      <c r="X99" s="17">
        <v>5</v>
      </c>
      <c r="Y99" s="113">
        <v>0</v>
      </c>
      <c r="Z99" s="127">
        <f t="shared" si="647"/>
        <v>64.2</v>
      </c>
      <c r="AA99" s="127">
        <f t="shared" si="674"/>
        <v>0.67999999999999994</v>
      </c>
      <c r="AB99" s="127">
        <f t="shared" si="648"/>
        <v>0</v>
      </c>
      <c r="AC99" s="127">
        <f t="shared" si="649"/>
        <v>0.69</v>
      </c>
      <c r="AD99" s="127">
        <f t="shared" si="650"/>
        <v>1.6</v>
      </c>
      <c r="AE99" s="127">
        <f t="shared" si="651"/>
        <v>0</v>
      </c>
      <c r="AF99" s="127">
        <v>0</v>
      </c>
      <c r="AG99" s="127">
        <v>0</v>
      </c>
      <c r="AH99" s="127">
        <f t="shared" si="652"/>
        <v>14</v>
      </c>
      <c r="AI99" s="127">
        <f t="shared" si="653"/>
        <v>1.1000000000000001</v>
      </c>
      <c r="AJ99" s="127">
        <f t="shared" si="654"/>
        <v>0</v>
      </c>
      <c r="AK99" s="127">
        <f t="shared" si="655"/>
        <v>1.1000000000000001</v>
      </c>
      <c r="AL99" s="127">
        <f t="shared" si="656"/>
        <v>0.9</v>
      </c>
      <c r="AM99" s="127">
        <f t="shared" si="657"/>
        <v>0</v>
      </c>
      <c r="AN99" s="127">
        <f t="shared" si="658"/>
        <v>5</v>
      </c>
      <c r="AO99" s="127">
        <f t="shared" si="667"/>
        <v>0</v>
      </c>
      <c r="AP99" s="127">
        <f t="shared" si="659"/>
        <v>50</v>
      </c>
      <c r="AQ99" s="127">
        <f t="shared" si="660"/>
        <v>2.82</v>
      </c>
      <c r="AR99" s="127">
        <f t="shared" si="661"/>
        <v>0</v>
      </c>
      <c r="AS99" s="127">
        <f t="shared" si="662"/>
        <v>2.82</v>
      </c>
      <c r="AT99" s="127">
        <f t="shared" si="663"/>
        <v>2.5</v>
      </c>
      <c r="AU99" s="127">
        <f t="shared" si="664"/>
        <v>0</v>
      </c>
      <c r="AV99" s="127">
        <f t="shared" si="665"/>
        <v>5</v>
      </c>
      <c r="AW99" s="127">
        <f t="shared" si="666"/>
        <v>0</v>
      </c>
      <c r="AX99" s="127"/>
      <c r="AY99" s="127"/>
      <c r="AZ99" s="127">
        <f t="shared" si="501"/>
        <v>149.79999999999998</v>
      </c>
      <c r="BA99" s="127">
        <f t="shared" si="355"/>
        <v>6.1</v>
      </c>
      <c r="BB99" s="127">
        <f t="shared" si="531"/>
        <v>0</v>
      </c>
      <c r="BC99" s="127">
        <f t="shared" si="531"/>
        <v>6.1099999999999994</v>
      </c>
      <c r="BD99" s="127">
        <f t="shared" si="531"/>
        <v>7.5</v>
      </c>
      <c r="BE99" s="127">
        <f t="shared" si="444"/>
        <v>0</v>
      </c>
      <c r="BF99" s="127">
        <f t="shared" si="444"/>
        <v>15</v>
      </c>
      <c r="BG99" s="127">
        <f t="shared" si="444"/>
        <v>0</v>
      </c>
      <c r="BH99" s="2"/>
      <c r="BI99" s="2"/>
      <c r="BJ99" s="2"/>
      <c r="BK99" s="2"/>
      <c r="BL99" s="8" t="e">
        <f>ROUND(F99-#REF!,2)</f>
        <v>#REF!</v>
      </c>
      <c r="BM99" s="8" t="e">
        <f>ROUND(I99-#REF!,2)</f>
        <v>#REF!</v>
      </c>
    </row>
    <row r="100" spans="1:72" s="6" customFormat="1" ht="20.100000000000001" customHeight="1" x14ac:dyDescent="0.3">
      <c r="A100" s="76"/>
      <c r="B100" s="77" t="s">
        <v>63</v>
      </c>
      <c r="C100" s="78">
        <f>+C98+C99</f>
        <v>900</v>
      </c>
      <c r="D100" s="78">
        <f t="shared" ref="D100:G100" si="675">+D98+D99</f>
        <v>210</v>
      </c>
      <c r="E100" s="78" t="e">
        <f t="shared" si="675"/>
        <v>#REF!</v>
      </c>
      <c r="F100" s="78">
        <f t="shared" si="675"/>
        <v>75</v>
      </c>
      <c r="G100" s="78">
        <f t="shared" si="675"/>
        <v>85</v>
      </c>
      <c r="H100" s="78" t="e">
        <f>+H98+H99</f>
        <v>#REF!</v>
      </c>
      <c r="I100" s="78">
        <f t="shared" ref="I100" si="676">+I98+I99</f>
        <v>50</v>
      </c>
      <c r="J100" s="78">
        <f t="shared" ref="J100" si="677">+J98+J99</f>
        <v>0</v>
      </c>
      <c r="K100" s="78">
        <f t="shared" ref="K100" si="678">+K98+K99</f>
        <v>50</v>
      </c>
      <c r="L100" s="78">
        <f t="shared" ref="L100" si="679">+L98+L99</f>
        <v>45</v>
      </c>
      <c r="M100" s="78">
        <f>+M98+M99</f>
        <v>0</v>
      </c>
      <c r="N100" s="78">
        <f t="shared" ref="N100:BG100" si="680">+N98+N99</f>
        <v>45</v>
      </c>
      <c r="O100" s="78">
        <f t="shared" si="680"/>
        <v>1070</v>
      </c>
      <c r="P100" s="78">
        <f t="shared" si="680"/>
        <v>295</v>
      </c>
      <c r="Q100" s="78">
        <f t="shared" si="680"/>
        <v>1365</v>
      </c>
      <c r="R100" s="78">
        <f t="shared" si="680"/>
        <v>310.76000000000005</v>
      </c>
      <c r="S100" s="78">
        <f t="shared" si="680"/>
        <v>31.5</v>
      </c>
      <c r="T100" s="78">
        <f t="shared" si="680"/>
        <v>18.75</v>
      </c>
      <c r="U100" s="78">
        <f t="shared" si="680"/>
        <v>12.75</v>
      </c>
      <c r="V100" s="78">
        <f t="shared" si="680"/>
        <v>4.5</v>
      </c>
      <c r="W100" s="78">
        <f t="shared" si="680"/>
        <v>0</v>
      </c>
      <c r="X100" s="78">
        <f t="shared" si="680"/>
        <v>7.5</v>
      </c>
      <c r="Y100" s="114">
        <f t="shared" si="680"/>
        <v>0</v>
      </c>
      <c r="Z100" s="78">
        <f t="shared" si="680"/>
        <v>75.34</v>
      </c>
      <c r="AA100" s="78">
        <f t="shared" si="680"/>
        <v>14.58</v>
      </c>
      <c r="AB100" s="78">
        <f t="shared" si="680"/>
        <v>5.91</v>
      </c>
      <c r="AC100" s="78">
        <f t="shared" si="680"/>
        <v>5.83</v>
      </c>
      <c r="AD100" s="78">
        <f t="shared" si="680"/>
        <v>16</v>
      </c>
      <c r="AE100" s="78">
        <f t="shared" si="680"/>
        <v>0</v>
      </c>
      <c r="AF100" s="78">
        <f t="shared" si="680"/>
        <v>0</v>
      </c>
      <c r="AG100" s="78">
        <f t="shared" si="680"/>
        <v>0</v>
      </c>
      <c r="AH100" s="78">
        <f t="shared" si="680"/>
        <v>65</v>
      </c>
      <c r="AI100" s="78">
        <f t="shared" si="680"/>
        <v>23.1</v>
      </c>
      <c r="AJ100" s="78">
        <f t="shared" si="680"/>
        <v>12.75</v>
      </c>
      <c r="AK100" s="78">
        <f t="shared" si="680"/>
        <v>9.35</v>
      </c>
      <c r="AL100" s="78">
        <f t="shared" si="680"/>
        <v>4.5</v>
      </c>
      <c r="AM100" s="78">
        <f t="shared" si="680"/>
        <v>0</v>
      </c>
      <c r="AN100" s="78">
        <f t="shared" si="680"/>
        <v>11.25</v>
      </c>
      <c r="AO100" s="78">
        <f t="shared" si="680"/>
        <v>0</v>
      </c>
      <c r="AP100" s="78">
        <f t="shared" si="680"/>
        <v>225</v>
      </c>
      <c r="AQ100" s="78">
        <f t="shared" si="680"/>
        <v>59.12</v>
      </c>
      <c r="AR100" s="78">
        <f t="shared" si="680"/>
        <v>18.75</v>
      </c>
      <c r="AS100" s="78">
        <f t="shared" si="680"/>
        <v>23.93</v>
      </c>
      <c r="AT100" s="78">
        <f t="shared" si="680"/>
        <v>12.5</v>
      </c>
      <c r="AU100" s="78">
        <f t="shared" si="680"/>
        <v>0</v>
      </c>
      <c r="AV100" s="78">
        <f t="shared" si="680"/>
        <v>11.25</v>
      </c>
      <c r="AW100" s="78">
        <f t="shared" si="680"/>
        <v>0</v>
      </c>
      <c r="AX100" s="78">
        <f t="shared" si="680"/>
        <v>0</v>
      </c>
      <c r="AY100" s="78">
        <f t="shared" si="680"/>
        <v>0</v>
      </c>
      <c r="AZ100" s="78">
        <f t="shared" si="680"/>
        <v>676.09999999999991</v>
      </c>
      <c r="BA100" s="78">
        <f t="shared" si="680"/>
        <v>128.30000000000001</v>
      </c>
      <c r="BB100" s="78">
        <f t="shared" si="680"/>
        <v>56.16</v>
      </c>
      <c r="BC100" s="78">
        <f t="shared" si="680"/>
        <v>51.86</v>
      </c>
      <c r="BD100" s="78">
        <f t="shared" si="680"/>
        <v>37.5</v>
      </c>
      <c r="BE100" s="78">
        <f t="shared" si="680"/>
        <v>0</v>
      </c>
      <c r="BF100" s="78">
        <f t="shared" si="680"/>
        <v>30</v>
      </c>
      <c r="BG100" s="78">
        <f t="shared" si="680"/>
        <v>0</v>
      </c>
      <c r="BH100" s="84"/>
      <c r="BI100" s="84"/>
      <c r="BJ100" s="84"/>
      <c r="BK100" s="84"/>
      <c r="BL100" s="78" t="e">
        <f t="shared" ref="BL100:BP100" si="681">+BL98+BL99</f>
        <v>#REF!</v>
      </c>
      <c r="BM100" s="78" t="e">
        <f t="shared" si="681"/>
        <v>#REF!</v>
      </c>
      <c r="BN100" s="78">
        <f t="shared" si="681"/>
        <v>0</v>
      </c>
      <c r="BO100" s="78">
        <f t="shared" si="681"/>
        <v>0</v>
      </c>
      <c r="BP100" s="78">
        <f t="shared" si="681"/>
        <v>0</v>
      </c>
    </row>
    <row r="101" spans="1:72" ht="20.100000000000001" customHeight="1" x14ac:dyDescent="0.3">
      <c r="A101" s="15">
        <v>8</v>
      </c>
      <c r="B101" s="16" t="s">
        <v>65</v>
      </c>
      <c r="C101" s="17">
        <v>750</v>
      </c>
      <c r="D101" s="17">
        <v>200</v>
      </c>
      <c r="E101" s="19" t="e">
        <f>C101+D101+#REF!+#REF!</f>
        <v>#REF!</v>
      </c>
      <c r="F101" s="17">
        <v>250</v>
      </c>
      <c r="G101" s="28">
        <v>50</v>
      </c>
      <c r="H101" s="19" t="e">
        <f>F101+G101+#REF!</f>
        <v>#REF!</v>
      </c>
      <c r="I101" s="17">
        <v>5</v>
      </c>
      <c r="J101" s="17">
        <v>1</v>
      </c>
      <c r="K101" s="19">
        <f t="shared" si="644"/>
        <v>6</v>
      </c>
      <c r="L101" s="28">
        <v>35</v>
      </c>
      <c r="M101" s="28">
        <v>1</v>
      </c>
      <c r="N101" s="19">
        <f t="shared" ref="N101:N182" si="682">L101+M101</f>
        <v>36</v>
      </c>
      <c r="O101" s="19">
        <f>C101+F101+I101+L101</f>
        <v>1040</v>
      </c>
      <c r="P101" s="20">
        <f>D101+G101+J101+M101</f>
        <v>252</v>
      </c>
      <c r="Q101" s="19">
        <f t="shared" si="640"/>
        <v>1292</v>
      </c>
      <c r="R101" s="17">
        <v>178</v>
      </c>
      <c r="S101" s="17">
        <v>45</v>
      </c>
      <c r="T101" s="17">
        <v>62.5</v>
      </c>
      <c r="U101" s="17">
        <v>7.5</v>
      </c>
      <c r="V101" s="17">
        <v>1.25</v>
      </c>
      <c r="W101" s="17">
        <v>0.15</v>
      </c>
      <c r="X101" s="17">
        <v>3.75</v>
      </c>
      <c r="Y101" s="113">
        <v>0.15</v>
      </c>
      <c r="Z101" s="127">
        <f t="shared" si="647"/>
        <v>143.75</v>
      </c>
      <c r="AA101" s="127">
        <f>ROUND(D101*21.96%-S101,2)+0.59+0.49</f>
        <v>0</v>
      </c>
      <c r="AB101" s="127">
        <f t="shared" si="648"/>
        <v>19.850000000000001</v>
      </c>
      <c r="AC101" s="127">
        <f t="shared" si="649"/>
        <v>3.43</v>
      </c>
      <c r="AD101" s="127">
        <f t="shared" si="650"/>
        <v>0.8</v>
      </c>
      <c r="AE101" s="127">
        <f t="shared" si="651"/>
        <v>7.0000000000000007E-2</v>
      </c>
      <c r="AF101" s="127">
        <v>0</v>
      </c>
      <c r="AG101" s="127">
        <v>0</v>
      </c>
      <c r="AH101" s="127">
        <f>ROUND(C101*7%,2)+1</f>
        <v>53.5</v>
      </c>
      <c r="AI101" s="127">
        <f t="shared" si="653"/>
        <v>22</v>
      </c>
      <c r="AJ101" s="127">
        <f t="shared" si="654"/>
        <v>42.5</v>
      </c>
      <c r="AK101" s="127">
        <f t="shared" si="655"/>
        <v>5.5</v>
      </c>
      <c r="AL101" s="127">
        <f t="shared" si="656"/>
        <v>0.45</v>
      </c>
      <c r="AM101" s="127">
        <f t="shared" si="657"/>
        <v>0.11</v>
      </c>
      <c r="AN101" s="127">
        <f t="shared" si="658"/>
        <v>8.75</v>
      </c>
      <c r="AO101" s="127">
        <f t="shared" si="667"/>
        <v>0.18</v>
      </c>
      <c r="AP101" s="127">
        <f t="shared" si="659"/>
        <v>187.5</v>
      </c>
      <c r="AQ101" s="127">
        <f t="shared" si="660"/>
        <v>56.3</v>
      </c>
      <c r="AR101" s="127">
        <f t="shared" si="661"/>
        <v>62.5</v>
      </c>
      <c r="AS101" s="127">
        <f t="shared" si="662"/>
        <v>14.08</v>
      </c>
      <c r="AT101" s="127">
        <f t="shared" si="663"/>
        <v>1.25</v>
      </c>
      <c r="AU101" s="127">
        <f t="shared" si="664"/>
        <v>0.28000000000000003</v>
      </c>
      <c r="AV101" s="127">
        <f t="shared" si="665"/>
        <v>8.75</v>
      </c>
      <c r="AW101" s="127">
        <f t="shared" si="666"/>
        <v>0.28000000000000003</v>
      </c>
      <c r="AX101" s="127"/>
      <c r="AY101" s="127"/>
      <c r="AZ101" s="127">
        <f t="shared" si="501"/>
        <v>562.75</v>
      </c>
      <c r="BA101" s="127">
        <f t="shared" si="355"/>
        <v>123.3</v>
      </c>
      <c r="BB101" s="127">
        <f t="shared" si="531"/>
        <v>187.35</v>
      </c>
      <c r="BC101" s="127">
        <f t="shared" si="531"/>
        <v>30.509999999999998</v>
      </c>
      <c r="BD101" s="127">
        <f t="shared" si="531"/>
        <v>3.75</v>
      </c>
      <c r="BE101" s="127">
        <f t="shared" si="444"/>
        <v>0.61</v>
      </c>
      <c r="BF101" s="127">
        <f t="shared" si="444"/>
        <v>21.25</v>
      </c>
      <c r="BG101" s="127">
        <f t="shared" si="444"/>
        <v>0.61</v>
      </c>
      <c r="BH101" s="2"/>
      <c r="BI101" s="2"/>
      <c r="BJ101" s="2"/>
      <c r="BK101" s="2"/>
      <c r="BL101" s="8" t="e">
        <f>ROUND(F101-#REF!,2)</f>
        <v>#REF!</v>
      </c>
      <c r="BM101" s="8" t="e">
        <f>ROUND(I101-#REF!,2)</f>
        <v>#REF!</v>
      </c>
    </row>
    <row r="102" spans="1:72" ht="20.100000000000001" customHeight="1" x14ac:dyDescent="0.3">
      <c r="A102" s="15">
        <v>9</v>
      </c>
      <c r="B102" s="16" t="s">
        <v>66</v>
      </c>
      <c r="C102" s="17">
        <v>200</v>
      </c>
      <c r="D102" s="17">
        <v>0</v>
      </c>
      <c r="E102" s="19" t="e">
        <f>C102+D102+#REF!+#REF!</f>
        <v>#REF!</v>
      </c>
      <c r="F102" s="17">
        <v>100</v>
      </c>
      <c r="G102" s="28">
        <v>14</v>
      </c>
      <c r="H102" s="19" t="e">
        <f>F102+G102+#REF!</f>
        <v>#REF!</v>
      </c>
      <c r="I102" s="17">
        <v>20</v>
      </c>
      <c r="J102" s="17">
        <v>0</v>
      </c>
      <c r="K102" s="19">
        <f t="shared" si="644"/>
        <v>20</v>
      </c>
      <c r="L102" s="28">
        <v>25</v>
      </c>
      <c r="M102" s="28">
        <v>0</v>
      </c>
      <c r="N102" s="19">
        <f t="shared" si="682"/>
        <v>25</v>
      </c>
      <c r="O102" s="19">
        <f>C102+F102+I102+L102</f>
        <v>345</v>
      </c>
      <c r="P102" s="20">
        <f>D102+G102+J102+M102</f>
        <v>14</v>
      </c>
      <c r="Q102" s="19">
        <f t="shared" si="640"/>
        <v>359</v>
      </c>
      <c r="R102" s="17">
        <v>20.16</v>
      </c>
      <c r="S102" s="17">
        <v>0</v>
      </c>
      <c r="T102" s="17">
        <v>25</v>
      </c>
      <c r="U102" s="17">
        <v>2.1</v>
      </c>
      <c r="V102" s="17">
        <v>5</v>
      </c>
      <c r="W102" s="17">
        <v>0</v>
      </c>
      <c r="X102" s="17">
        <v>6.25</v>
      </c>
      <c r="Y102" s="113">
        <v>0</v>
      </c>
      <c r="Z102" s="127">
        <f t="shared" si="647"/>
        <v>65.64</v>
      </c>
      <c r="AA102" s="127">
        <f>ROUND(D102*21.96%-S102,2)-0.02+0.02</f>
        <v>0</v>
      </c>
      <c r="AB102" s="127">
        <f t="shared" si="648"/>
        <v>7.94</v>
      </c>
      <c r="AC102" s="127">
        <f t="shared" si="649"/>
        <v>0.96</v>
      </c>
      <c r="AD102" s="127">
        <f t="shared" si="650"/>
        <v>3.2</v>
      </c>
      <c r="AE102" s="127">
        <f t="shared" si="651"/>
        <v>0</v>
      </c>
      <c r="AF102" s="127">
        <v>0</v>
      </c>
      <c r="AG102" s="127">
        <v>0</v>
      </c>
      <c r="AH102" s="127">
        <f t="shared" si="652"/>
        <v>14</v>
      </c>
      <c r="AI102" s="127">
        <f t="shared" si="653"/>
        <v>0</v>
      </c>
      <c r="AJ102" s="127">
        <f t="shared" si="654"/>
        <v>17</v>
      </c>
      <c r="AK102" s="127">
        <f t="shared" si="655"/>
        <v>1.54</v>
      </c>
      <c r="AL102" s="127">
        <f t="shared" si="656"/>
        <v>1.8</v>
      </c>
      <c r="AM102" s="127">
        <f t="shared" si="657"/>
        <v>0</v>
      </c>
      <c r="AN102" s="127">
        <f t="shared" si="658"/>
        <v>6.25</v>
      </c>
      <c r="AO102" s="127">
        <f t="shared" si="667"/>
        <v>0</v>
      </c>
      <c r="AP102" s="127">
        <f t="shared" si="659"/>
        <v>50</v>
      </c>
      <c r="AQ102" s="127">
        <f t="shared" si="660"/>
        <v>0</v>
      </c>
      <c r="AR102" s="127">
        <f t="shared" si="661"/>
        <v>25</v>
      </c>
      <c r="AS102" s="127">
        <f t="shared" si="662"/>
        <v>3.94</v>
      </c>
      <c r="AT102" s="127">
        <f t="shared" si="663"/>
        <v>5</v>
      </c>
      <c r="AU102" s="127">
        <f t="shared" si="664"/>
        <v>0</v>
      </c>
      <c r="AV102" s="127">
        <f t="shared" si="665"/>
        <v>6.25</v>
      </c>
      <c r="AW102" s="127">
        <f t="shared" si="666"/>
        <v>0</v>
      </c>
      <c r="AX102" s="127"/>
      <c r="AY102" s="127"/>
      <c r="AZ102" s="127">
        <f t="shared" si="501"/>
        <v>149.79999999999998</v>
      </c>
      <c r="BA102" s="127">
        <f t="shared" si="355"/>
        <v>0</v>
      </c>
      <c r="BB102" s="127">
        <f t="shared" si="531"/>
        <v>74.94</v>
      </c>
      <c r="BC102" s="127">
        <f t="shared" si="531"/>
        <v>8.5400000000000009</v>
      </c>
      <c r="BD102" s="127">
        <f t="shared" si="531"/>
        <v>15</v>
      </c>
      <c r="BE102" s="127">
        <f t="shared" si="444"/>
        <v>0</v>
      </c>
      <c r="BF102" s="127">
        <f t="shared" si="444"/>
        <v>18.75</v>
      </c>
      <c r="BG102" s="127">
        <f t="shared" si="444"/>
        <v>0</v>
      </c>
      <c r="BH102" s="2"/>
      <c r="BI102" s="2"/>
      <c r="BJ102" s="2"/>
      <c r="BK102" s="2"/>
      <c r="BL102" s="8" t="e">
        <f>ROUND(F102-#REF!,2)</f>
        <v>#REF!</v>
      </c>
      <c r="BM102" s="8" t="e">
        <f>ROUND(I102-#REF!,2)</f>
        <v>#REF!</v>
      </c>
    </row>
    <row r="103" spans="1:72" s="6" customFormat="1" ht="20.100000000000001" customHeight="1" x14ac:dyDescent="0.3">
      <c r="A103" s="76"/>
      <c r="B103" s="77" t="s">
        <v>65</v>
      </c>
      <c r="C103" s="78">
        <f>+C101+C102</f>
        <v>950</v>
      </c>
      <c r="D103" s="78">
        <f t="shared" ref="D103:F103" si="683">+D101+D102</f>
        <v>200</v>
      </c>
      <c r="E103" s="78" t="e">
        <f t="shared" si="683"/>
        <v>#REF!</v>
      </c>
      <c r="F103" s="78">
        <f t="shared" si="683"/>
        <v>350</v>
      </c>
      <c r="G103" s="78">
        <f t="shared" ref="G103" si="684">+G101+G102</f>
        <v>64</v>
      </c>
      <c r="H103" s="78" t="e">
        <f t="shared" ref="H103:I103" si="685">+H101+H102</f>
        <v>#REF!</v>
      </c>
      <c r="I103" s="78">
        <f t="shared" si="685"/>
        <v>25</v>
      </c>
      <c r="J103" s="78">
        <f t="shared" ref="J103" si="686">+J101+J102</f>
        <v>1</v>
      </c>
      <c r="K103" s="78">
        <f t="shared" ref="K103" si="687">+K101+K102</f>
        <v>26</v>
      </c>
      <c r="L103" s="78">
        <f>+L101+L102</f>
        <v>60</v>
      </c>
      <c r="M103" s="78">
        <f t="shared" ref="M103:BG103" si="688">+M101+M102</f>
        <v>1</v>
      </c>
      <c r="N103" s="78">
        <f t="shared" si="688"/>
        <v>61</v>
      </c>
      <c r="O103" s="78">
        <f t="shared" si="688"/>
        <v>1385</v>
      </c>
      <c r="P103" s="78">
        <f t="shared" si="688"/>
        <v>266</v>
      </c>
      <c r="Q103" s="78">
        <f t="shared" si="688"/>
        <v>1651</v>
      </c>
      <c r="R103" s="78">
        <f t="shared" si="688"/>
        <v>198.16</v>
      </c>
      <c r="S103" s="78">
        <f t="shared" si="688"/>
        <v>45</v>
      </c>
      <c r="T103" s="78">
        <f t="shared" si="688"/>
        <v>87.5</v>
      </c>
      <c r="U103" s="78">
        <f t="shared" si="688"/>
        <v>9.6</v>
      </c>
      <c r="V103" s="78">
        <f t="shared" si="688"/>
        <v>6.25</v>
      </c>
      <c r="W103" s="78">
        <f t="shared" si="688"/>
        <v>0.15</v>
      </c>
      <c r="X103" s="78">
        <f t="shared" si="688"/>
        <v>10</v>
      </c>
      <c r="Y103" s="114">
        <f t="shared" si="688"/>
        <v>0.15</v>
      </c>
      <c r="Z103" s="78">
        <f t="shared" si="688"/>
        <v>209.39</v>
      </c>
      <c r="AA103" s="78">
        <f t="shared" si="688"/>
        <v>0</v>
      </c>
      <c r="AB103" s="78">
        <f t="shared" si="688"/>
        <v>27.790000000000003</v>
      </c>
      <c r="AC103" s="78">
        <f t="shared" si="688"/>
        <v>4.3900000000000006</v>
      </c>
      <c r="AD103" s="78">
        <f t="shared" si="688"/>
        <v>4</v>
      </c>
      <c r="AE103" s="78">
        <f t="shared" si="688"/>
        <v>7.0000000000000007E-2</v>
      </c>
      <c r="AF103" s="78">
        <f t="shared" si="688"/>
        <v>0</v>
      </c>
      <c r="AG103" s="78">
        <f t="shared" si="688"/>
        <v>0</v>
      </c>
      <c r="AH103" s="78">
        <f t="shared" si="688"/>
        <v>67.5</v>
      </c>
      <c r="AI103" s="78">
        <f t="shared" si="688"/>
        <v>22</v>
      </c>
      <c r="AJ103" s="78">
        <f t="shared" si="688"/>
        <v>59.5</v>
      </c>
      <c r="AK103" s="78">
        <f t="shared" si="688"/>
        <v>7.04</v>
      </c>
      <c r="AL103" s="78">
        <f t="shared" si="688"/>
        <v>2.25</v>
      </c>
      <c r="AM103" s="78">
        <f t="shared" si="688"/>
        <v>0.11</v>
      </c>
      <c r="AN103" s="78">
        <f t="shared" si="688"/>
        <v>15</v>
      </c>
      <c r="AO103" s="78">
        <f t="shared" si="688"/>
        <v>0.18</v>
      </c>
      <c r="AP103" s="78">
        <f t="shared" si="688"/>
        <v>237.5</v>
      </c>
      <c r="AQ103" s="78">
        <f t="shared" si="688"/>
        <v>56.3</v>
      </c>
      <c r="AR103" s="78">
        <f t="shared" si="688"/>
        <v>87.5</v>
      </c>
      <c r="AS103" s="78">
        <f t="shared" si="688"/>
        <v>18.02</v>
      </c>
      <c r="AT103" s="78">
        <f t="shared" si="688"/>
        <v>6.25</v>
      </c>
      <c r="AU103" s="78">
        <f t="shared" si="688"/>
        <v>0.28000000000000003</v>
      </c>
      <c r="AV103" s="78">
        <f t="shared" si="688"/>
        <v>15</v>
      </c>
      <c r="AW103" s="78">
        <f t="shared" si="688"/>
        <v>0.28000000000000003</v>
      </c>
      <c r="AX103" s="78">
        <f t="shared" si="688"/>
        <v>0</v>
      </c>
      <c r="AY103" s="78">
        <f t="shared" si="688"/>
        <v>0</v>
      </c>
      <c r="AZ103" s="78">
        <f t="shared" si="688"/>
        <v>712.55</v>
      </c>
      <c r="BA103" s="78">
        <f t="shared" si="688"/>
        <v>123.3</v>
      </c>
      <c r="BB103" s="78">
        <f t="shared" si="688"/>
        <v>262.28999999999996</v>
      </c>
      <c r="BC103" s="78">
        <f t="shared" si="688"/>
        <v>39.049999999999997</v>
      </c>
      <c r="BD103" s="78">
        <f t="shared" si="688"/>
        <v>18.75</v>
      </c>
      <c r="BE103" s="78">
        <f t="shared" si="688"/>
        <v>0.61</v>
      </c>
      <c r="BF103" s="78">
        <f t="shared" si="688"/>
        <v>40</v>
      </c>
      <c r="BG103" s="78">
        <f t="shared" si="688"/>
        <v>0.61</v>
      </c>
      <c r="BH103" s="78"/>
      <c r="BI103" s="78"/>
      <c r="BJ103" s="78"/>
      <c r="BK103" s="78"/>
      <c r="BL103" s="78" t="e">
        <f t="shared" ref="BL103:BQ103" si="689">+BL101+BL102</f>
        <v>#REF!</v>
      </c>
      <c r="BM103" s="78" t="e">
        <f t="shared" si="689"/>
        <v>#REF!</v>
      </c>
      <c r="BN103" s="78">
        <f t="shared" si="689"/>
        <v>0</v>
      </c>
      <c r="BO103" s="78">
        <f t="shared" si="689"/>
        <v>0</v>
      </c>
      <c r="BP103" s="78">
        <f t="shared" si="689"/>
        <v>0</v>
      </c>
      <c r="BQ103" s="78">
        <f t="shared" si="689"/>
        <v>0</v>
      </c>
    </row>
    <row r="104" spans="1:72" ht="20.100000000000001" customHeight="1" x14ac:dyDescent="0.3">
      <c r="A104" s="15">
        <v>10</v>
      </c>
      <c r="B104" s="16" t="s">
        <v>67</v>
      </c>
      <c r="C104" s="17">
        <v>390</v>
      </c>
      <c r="D104" s="17">
        <v>200</v>
      </c>
      <c r="E104" s="19" t="e">
        <f>C104+D104+#REF!+#REF!</f>
        <v>#REF!</v>
      </c>
      <c r="F104" s="17">
        <v>10</v>
      </c>
      <c r="G104" s="28">
        <v>0</v>
      </c>
      <c r="H104" s="19" t="e">
        <f>F104+G104+#REF!</f>
        <v>#REF!</v>
      </c>
      <c r="I104" s="17">
        <v>100</v>
      </c>
      <c r="J104" s="17">
        <v>1</v>
      </c>
      <c r="K104" s="19">
        <f t="shared" si="644"/>
        <v>101</v>
      </c>
      <c r="L104" s="28">
        <v>75</v>
      </c>
      <c r="M104" s="28">
        <v>2</v>
      </c>
      <c r="N104" s="19">
        <f t="shared" si="682"/>
        <v>77</v>
      </c>
      <c r="O104" s="19">
        <f>C104+F104+I104+L104</f>
        <v>575</v>
      </c>
      <c r="P104" s="20">
        <f>D104+G104+J104+M104</f>
        <v>203</v>
      </c>
      <c r="Q104" s="19">
        <f t="shared" si="640"/>
        <v>778</v>
      </c>
      <c r="R104" s="17">
        <v>85.58</v>
      </c>
      <c r="S104" s="17">
        <v>45</v>
      </c>
      <c r="T104" s="17">
        <v>2.5</v>
      </c>
      <c r="U104" s="17">
        <v>0</v>
      </c>
      <c r="V104" s="17">
        <v>7</v>
      </c>
      <c r="W104" s="17">
        <v>0.15</v>
      </c>
      <c r="X104" s="17">
        <v>18.75</v>
      </c>
      <c r="Y104" s="113">
        <v>0.3</v>
      </c>
      <c r="Z104" s="127">
        <f t="shared" si="647"/>
        <v>81.73</v>
      </c>
      <c r="AA104" s="127">
        <f>ROUND(D104*21.96%-S104,2)-0.02+1.1</f>
        <v>0</v>
      </c>
      <c r="AB104" s="127">
        <f>ROUND(F104*32.94%-T104,2)-0.79</f>
        <v>0</v>
      </c>
      <c r="AC104" s="127">
        <f t="shared" si="649"/>
        <v>0</v>
      </c>
      <c r="AD104" s="128">
        <f>ROUND(I104*41%-V104,2)-10</f>
        <v>24</v>
      </c>
      <c r="AE104" s="127">
        <f t="shared" si="651"/>
        <v>7.0000000000000007E-2</v>
      </c>
      <c r="AF104" s="127">
        <v>0</v>
      </c>
      <c r="AG104" s="127">
        <v>0</v>
      </c>
      <c r="AH104" s="127">
        <f t="shared" si="652"/>
        <v>27.3</v>
      </c>
      <c r="AI104" s="127">
        <f>ROUND(D104*11%,2)-1</f>
        <v>21</v>
      </c>
      <c r="AJ104" s="127">
        <f t="shared" si="654"/>
        <v>1.7</v>
      </c>
      <c r="AK104" s="127">
        <f t="shared" si="655"/>
        <v>0</v>
      </c>
      <c r="AL104" s="127">
        <f t="shared" si="656"/>
        <v>9</v>
      </c>
      <c r="AM104" s="127">
        <f t="shared" si="657"/>
        <v>0.11</v>
      </c>
      <c r="AN104" s="127">
        <f t="shared" si="658"/>
        <v>18.75</v>
      </c>
      <c r="AO104" s="127">
        <f>ROUND(M104*18%,2)-0.02</f>
        <v>0.33999999999999997</v>
      </c>
      <c r="AP104" s="127">
        <f t="shared" si="659"/>
        <v>97.5</v>
      </c>
      <c r="AQ104" s="127">
        <f t="shared" si="660"/>
        <v>56.3</v>
      </c>
      <c r="AR104" s="127">
        <f t="shared" si="661"/>
        <v>2.5</v>
      </c>
      <c r="AS104" s="127">
        <f t="shared" si="662"/>
        <v>0</v>
      </c>
      <c r="AT104" s="127">
        <f t="shared" si="663"/>
        <v>25</v>
      </c>
      <c r="AU104" s="127">
        <f t="shared" si="664"/>
        <v>0.28000000000000003</v>
      </c>
      <c r="AV104" s="127">
        <f t="shared" si="665"/>
        <v>18.75</v>
      </c>
      <c r="AW104" s="127">
        <f t="shared" si="666"/>
        <v>0.56000000000000005</v>
      </c>
      <c r="AX104" s="127"/>
      <c r="AY104" s="127"/>
      <c r="AZ104" s="127">
        <f t="shared" si="501"/>
        <v>292.11</v>
      </c>
      <c r="BA104" s="127">
        <f t="shared" si="355"/>
        <v>122.3</v>
      </c>
      <c r="BB104" s="127">
        <f t="shared" si="531"/>
        <v>6.7</v>
      </c>
      <c r="BC104" s="127">
        <f t="shared" si="531"/>
        <v>0</v>
      </c>
      <c r="BD104" s="127">
        <f t="shared" si="531"/>
        <v>65</v>
      </c>
      <c r="BE104" s="127">
        <f t="shared" si="444"/>
        <v>0.61</v>
      </c>
      <c r="BF104" s="127">
        <f t="shared" si="444"/>
        <v>56.25</v>
      </c>
      <c r="BG104" s="127">
        <f t="shared" si="444"/>
        <v>1.2</v>
      </c>
      <c r="BH104" s="2"/>
      <c r="BI104" s="2"/>
      <c r="BJ104" s="2"/>
      <c r="BK104" s="2"/>
      <c r="BL104" s="8" t="e">
        <f>ROUND(F104-#REF!,2)</f>
        <v>#REF!</v>
      </c>
      <c r="BM104" s="8" t="e">
        <f>ROUND(I104-#REF!,2)</f>
        <v>#REF!</v>
      </c>
    </row>
    <row r="105" spans="1:72" ht="20.100000000000001" customHeight="1" x14ac:dyDescent="0.3">
      <c r="A105" s="15">
        <v>11</v>
      </c>
      <c r="B105" s="16" t="s">
        <v>68</v>
      </c>
      <c r="C105" s="17">
        <v>240</v>
      </c>
      <c r="D105" s="17">
        <v>5</v>
      </c>
      <c r="E105" s="19" t="e">
        <f>C105+D105+#REF!+#REF!</f>
        <v>#REF!</v>
      </c>
      <c r="F105" s="17">
        <v>238</v>
      </c>
      <c r="G105" s="28">
        <v>10</v>
      </c>
      <c r="H105" s="19" t="e">
        <f>F105+G105+#REF!</f>
        <v>#REF!</v>
      </c>
      <c r="I105" s="17">
        <v>15</v>
      </c>
      <c r="J105" s="17">
        <v>0</v>
      </c>
      <c r="K105" s="19">
        <f t="shared" si="644"/>
        <v>15</v>
      </c>
      <c r="L105" s="28">
        <v>25</v>
      </c>
      <c r="M105" s="28">
        <v>0</v>
      </c>
      <c r="N105" s="19">
        <f t="shared" si="682"/>
        <v>25</v>
      </c>
      <c r="O105" s="19">
        <f>C105+F105+I105+L105</f>
        <v>518</v>
      </c>
      <c r="P105" s="20">
        <f>D105+G105+J105+M105</f>
        <v>15</v>
      </c>
      <c r="Q105" s="19">
        <f t="shared" si="640"/>
        <v>533</v>
      </c>
      <c r="R105" s="17">
        <v>36</v>
      </c>
      <c r="S105" s="17">
        <v>0.75</v>
      </c>
      <c r="T105" s="17">
        <v>112.5</v>
      </c>
      <c r="U105" s="17">
        <v>1.5</v>
      </c>
      <c r="V105" s="17">
        <v>3.75</v>
      </c>
      <c r="W105" s="17">
        <v>0</v>
      </c>
      <c r="X105" s="17">
        <v>3.75</v>
      </c>
      <c r="Y105" s="113">
        <v>0</v>
      </c>
      <c r="Z105" s="127">
        <f t="shared" si="647"/>
        <v>66.959999999999994</v>
      </c>
      <c r="AA105" s="127">
        <f>ROUND(D105*21.96%-S105,2)-0.02-0.33</f>
        <v>0</v>
      </c>
      <c r="AB105" s="127">
        <f>ROUND(F105*32.94%-T105,2)+34.1</f>
        <v>0</v>
      </c>
      <c r="AC105" s="127">
        <f t="shared" si="649"/>
        <v>0.69</v>
      </c>
      <c r="AD105" s="127">
        <f t="shared" si="650"/>
        <v>2.4</v>
      </c>
      <c r="AE105" s="127">
        <f t="shared" si="651"/>
        <v>0</v>
      </c>
      <c r="AF105" s="127">
        <v>0</v>
      </c>
      <c r="AG105" s="127">
        <v>0</v>
      </c>
      <c r="AH105" s="127">
        <f t="shared" si="652"/>
        <v>16.8</v>
      </c>
      <c r="AI105" s="127">
        <f t="shared" si="653"/>
        <v>0.55000000000000004</v>
      </c>
      <c r="AJ105" s="127">
        <f t="shared" si="654"/>
        <v>40.46</v>
      </c>
      <c r="AK105" s="127">
        <f t="shared" si="655"/>
        <v>1.1000000000000001</v>
      </c>
      <c r="AL105" s="127">
        <f t="shared" si="656"/>
        <v>1.35</v>
      </c>
      <c r="AM105" s="127">
        <f t="shared" si="657"/>
        <v>0</v>
      </c>
      <c r="AN105" s="127">
        <f t="shared" si="658"/>
        <v>6.25</v>
      </c>
      <c r="AO105" s="127">
        <f t="shared" si="667"/>
        <v>0</v>
      </c>
      <c r="AP105" s="127">
        <f t="shared" si="659"/>
        <v>60</v>
      </c>
      <c r="AQ105" s="127">
        <f t="shared" si="660"/>
        <v>1.41</v>
      </c>
      <c r="AR105" s="127">
        <f t="shared" si="661"/>
        <v>59.5</v>
      </c>
      <c r="AS105" s="127">
        <f t="shared" si="662"/>
        <v>2.82</v>
      </c>
      <c r="AT105" s="127">
        <f t="shared" si="663"/>
        <v>3.75</v>
      </c>
      <c r="AU105" s="127">
        <f t="shared" si="664"/>
        <v>0</v>
      </c>
      <c r="AV105" s="127">
        <f t="shared" si="665"/>
        <v>6.25</v>
      </c>
      <c r="AW105" s="127">
        <f t="shared" si="666"/>
        <v>0</v>
      </c>
      <c r="AX105" s="127"/>
      <c r="AY105" s="127"/>
      <c r="AZ105" s="127">
        <f t="shared" si="501"/>
        <v>179.76</v>
      </c>
      <c r="BA105" s="127">
        <f t="shared" si="355"/>
        <v>2.71</v>
      </c>
      <c r="BB105" s="127">
        <f t="shared" si="531"/>
        <v>212.46</v>
      </c>
      <c r="BC105" s="127">
        <f t="shared" si="531"/>
        <v>6.1099999999999994</v>
      </c>
      <c r="BD105" s="127">
        <f t="shared" si="531"/>
        <v>11.25</v>
      </c>
      <c r="BE105" s="127">
        <f t="shared" si="444"/>
        <v>0</v>
      </c>
      <c r="BF105" s="127">
        <f t="shared" si="444"/>
        <v>16.25</v>
      </c>
      <c r="BG105" s="127">
        <f t="shared" si="444"/>
        <v>0</v>
      </c>
      <c r="BH105" s="2"/>
      <c r="BI105" s="2"/>
      <c r="BJ105" s="2"/>
      <c r="BK105" s="2"/>
      <c r="BL105" s="8" t="e">
        <f>ROUND(F105-#REF!,2)</f>
        <v>#REF!</v>
      </c>
      <c r="BM105" s="8" t="e">
        <f>ROUND(I105-#REF!,2)</f>
        <v>#REF!</v>
      </c>
    </row>
    <row r="106" spans="1:72" s="6" customFormat="1" ht="20.100000000000001" customHeight="1" x14ac:dyDescent="0.3">
      <c r="A106" s="76"/>
      <c r="B106" s="77" t="s">
        <v>67</v>
      </c>
      <c r="C106" s="78">
        <f>+C104+C105</f>
        <v>630</v>
      </c>
      <c r="D106" s="78">
        <f t="shared" ref="D106:G106" si="690">+D104+D105</f>
        <v>205</v>
      </c>
      <c r="E106" s="78" t="e">
        <f t="shared" si="690"/>
        <v>#REF!</v>
      </c>
      <c r="F106" s="78">
        <f t="shared" si="690"/>
        <v>248</v>
      </c>
      <c r="G106" s="78">
        <f t="shared" si="690"/>
        <v>10</v>
      </c>
      <c r="H106" s="78" t="e">
        <f t="shared" ref="H106" si="691">+H104+H105</f>
        <v>#REF!</v>
      </c>
      <c r="I106" s="78">
        <f t="shared" ref="I106" si="692">+I104+I105</f>
        <v>115</v>
      </c>
      <c r="J106" s="78">
        <f t="shared" ref="J106:K106" si="693">+J104+J105</f>
        <v>1</v>
      </c>
      <c r="K106" s="78">
        <f t="shared" si="693"/>
        <v>116</v>
      </c>
      <c r="L106" s="78">
        <f>+L104+L105</f>
        <v>100</v>
      </c>
      <c r="M106" s="78">
        <f t="shared" ref="M106:BG106" si="694">+M104+M105</f>
        <v>2</v>
      </c>
      <c r="N106" s="78">
        <f t="shared" si="694"/>
        <v>102</v>
      </c>
      <c r="O106" s="78">
        <f t="shared" si="694"/>
        <v>1093</v>
      </c>
      <c r="P106" s="78">
        <f t="shared" si="694"/>
        <v>218</v>
      </c>
      <c r="Q106" s="78">
        <f t="shared" si="694"/>
        <v>1311</v>
      </c>
      <c r="R106" s="78">
        <f t="shared" si="694"/>
        <v>121.58</v>
      </c>
      <c r="S106" s="78">
        <f t="shared" si="694"/>
        <v>45.75</v>
      </c>
      <c r="T106" s="78">
        <f t="shared" si="694"/>
        <v>115</v>
      </c>
      <c r="U106" s="78">
        <f t="shared" si="694"/>
        <v>1.5</v>
      </c>
      <c r="V106" s="78">
        <f t="shared" si="694"/>
        <v>10.75</v>
      </c>
      <c r="W106" s="78">
        <f t="shared" si="694"/>
        <v>0.15</v>
      </c>
      <c r="X106" s="78">
        <f t="shared" si="694"/>
        <v>22.5</v>
      </c>
      <c r="Y106" s="114">
        <f t="shared" si="694"/>
        <v>0.3</v>
      </c>
      <c r="Z106" s="78">
        <f t="shared" si="694"/>
        <v>148.69</v>
      </c>
      <c r="AA106" s="78">
        <f t="shared" si="694"/>
        <v>0</v>
      </c>
      <c r="AB106" s="78">
        <f t="shared" si="694"/>
        <v>0</v>
      </c>
      <c r="AC106" s="78">
        <f t="shared" si="694"/>
        <v>0.69</v>
      </c>
      <c r="AD106" s="78">
        <f t="shared" si="694"/>
        <v>26.4</v>
      </c>
      <c r="AE106" s="78">
        <f t="shared" si="694"/>
        <v>7.0000000000000007E-2</v>
      </c>
      <c r="AF106" s="78">
        <f t="shared" si="694"/>
        <v>0</v>
      </c>
      <c r="AG106" s="78">
        <f t="shared" si="694"/>
        <v>0</v>
      </c>
      <c r="AH106" s="78">
        <f t="shared" si="694"/>
        <v>44.1</v>
      </c>
      <c r="AI106" s="78">
        <f t="shared" si="694"/>
        <v>21.55</v>
      </c>
      <c r="AJ106" s="78">
        <f t="shared" si="694"/>
        <v>42.160000000000004</v>
      </c>
      <c r="AK106" s="78">
        <f t="shared" si="694"/>
        <v>1.1000000000000001</v>
      </c>
      <c r="AL106" s="78">
        <f t="shared" si="694"/>
        <v>10.35</v>
      </c>
      <c r="AM106" s="78">
        <f t="shared" si="694"/>
        <v>0.11</v>
      </c>
      <c r="AN106" s="78">
        <f t="shared" si="694"/>
        <v>25</v>
      </c>
      <c r="AO106" s="78">
        <f t="shared" si="694"/>
        <v>0.33999999999999997</v>
      </c>
      <c r="AP106" s="78">
        <f t="shared" si="694"/>
        <v>157.5</v>
      </c>
      <c r="AQ106" s="78">
        <f t="shared" si="694"/>
        <v>57.709999999999994</v>
      </c>
      <c r="AR106" s="78">
        <f t="shared" si="694"/>
        <v>62</v>
      </c>
      <c r="AS106" s="78">
        <f t="shared" si="694"/>
        <v>2.82</v>
      </c>
      <c r="AT106" s="78">
        <f t="shared" si="694"/>
        <v>28.75</v>
      </c>
      <c r="AU106" s="78">
        <f t="shared" si="694"/>
        <v>0.28000000000000003</v>
      </c>
      <c r="AV106" s="78">
        <f t="shared" si="694"/>
        <v>25</v>
      </c>
      <c r="AW106" s="78">
        <f t="shared" si="694"/>
        <v>0.56000000000000005</v>
      </c>
      <c r="AX106" s="78">
        <f t="shared" si="694"/>
        <v>0</v>
      </c>
      <c r="AY106" s="78">
        <f t="shared" si="694"/>
        <v>0</v>
      </c>
      <c r="AZ106" s="78">
        <f t="shared" si="694"/>
        <v>471.87</v>
      </c>
      <c r="BA106" s="78">
        <f t="shared" si="694"/>
        <v>125.00999999999999</v>
      </c>
      <c r="BB106" s="78">
        <f t="shared" si="694"/>
        <v>219.16</v>
      </c>
      <c r="BC106" s="78">
        <f t="shared" si="694"/>
        <v>6.1099999999999994</v>
      </c>
      <c r="BD106" s="78">
        <f t="shared" si="694"/>
        <v>76.25</v>
      </c>
      <c r="BE106" s="78">
        <f t="shared" si="694"/>
        <v>0.61</v>
      </c>
      <c r="BF106" s="78">
        <f t="shared" si="694"/>
        <v>72.5</v>
      </c>
      <c r="BG106" s="78">
        <f t="shared" si="694"/>
        <v>1.2</v>
      </c>
      <c r="BH106" s="78"/>
      <c r="BI106" s="78"/>
      <c r="BJ106" s="78"/>
      <c r="BK106" s="78"/>
      <c r="BL106" s="78" t="e">
        <f t="shared" ref="BL106:BR106" si="695">+BL104+BL105</f>
        <v>#REF!</v>
      </c>
      <c r="BM106" s="78" t="e">
        <f t="shared" si="695"/>
        <v>#REF!</v>
      </c>
      <c r="BN106" s="78">
        <f t="shared" si="695"/>
        <v>0</v>
      </c>
      <c r="BO106" s="78">
        <f t="shared" si="695"/>
        <v>0</v>
      </c>
      <c r="BP106" s="78">
        <f t="shared" si="695"/>
        <v>0</v>
      </c>
      <c r="BQ106" s="78">
        <f t="shared" si="695"/>
        <v>0</v>
      </c>
      <c r="BR106" s="78">
        <f t="shared" si="695"/>
        <v>0</v>
      </c>
      <c r="BS106" s="78">
        <f t="shared" ref="BS106:BT106" si="696">+BS104+BS105</f>
        <v>0</v>
      </c>
      <c r="BT106" s="78">
        <f t="shared" si="696"/>
        <v>0</v>
      </c>
    </row>
    <row r="107" spans="1:72" ht="20.100000000000001" customHeight="1" x14ac:dyDescent="0.3">
      <c r="A107" s="15">
        <v>12</v>
      </c>
      <c r="B107" s="16" t="s">
        <v>69</v>
      </c>
      <c r="C107" s="17">
        <v>1350</v>
      </c>
      <c r="D107" s="17">
        <v>300</v>
      </c>
      <c r="E107" s="19" t="e">
        <f>C107+D107+#REF!+#REF!</f>
        <v>#REF!</v>
      </c>
      <c r="F107" s="17">
        <v>115</v>
      </c>
      <c r="G107" s="28">
        <v>0</v>
      </c>
      <c r="H107" s="19" t="e">
        <f>F107+G107+#REF!</f>
        <v>#REF!</v>
      </c>
      <c r="I107" s="17">
        <v>250</v>
      </c>
      <c r="J107" s="17">
        <v>0</v>
      </c>
      <c r="K107" s="19">
        <f t="shared" si="644"/>
        <v>250</v>
      </c>
      <c r="L107" s="28">
        <v>495</v>
      </c>
      <c r="M107" s="28">
        <v>0</v>
      </c>
      <c r="N107" s="19">
        <f t="shared" si="682"/>
        <v>495</v>
      </c>
      <c r="O107" s="19">
        <f>C107+F107+I107+L107</f>
        <v>2210</v>
      </c>
      <c r="P107" s="20">
        <f>D107+G107+J107+M107</f>
        <v>300</v>
      </c>
      <c r="Q107" s="19">
        <f t="shared" si="640"/>
        <v>2510</v>
      </c>
      <c r="R107" s="17">
        <v>404</v>
      </c>
      <c r="S107" s="17">
        <v>15</v>
      </c>
      <c r="T107" s="17">
        <v>3.75</v>
      </c>
      <c r="U107" s="17">
        <v>0</v>
      </c>
      <c r="V107" s="17">
        <v>125</v>
      </c>
      <c r="W107" s="17">
        <v>0</v>
      </c>
      <c r="X107" s="17">
        <v>230</v>
      </c>
      <c r="Y107" s="113">
        <v>0</v>
      </c>
      <c r="Z107" s="127">
        <f t="shared" si="647"/>
        <v>175.15</v>
      </c>
      <c r="AA107" s="127">
        <f>ROUND(D107*21.96%-S107,2)-0.02-0.51</f>
        <v>50.35</v>
      </c>
      <c r="AB107" s="128">
        <f>ROUND(F107*32.94%-T107,2)-15</f>
        <v>19.130000000000003</v>
      </c>
      <c r="AC107" s="127">
        <f t="shared" si="649"/>
        <v>0</v>
      </c>
      <c r="AD107" s="127">
        <f>ROUND(I107*41%-V107,2)+22.5</f>
        <v>0</v>
      </c>
      <c r="AE107" s="127">
        <f t="shared" si="651"/>
        <v>0</v>
      </c>
      <c r="AF107" s="127">
        <v>0</v>
      </c>
      <c r="AG107" s="127">
        <v>0</v>
      </c>
      <c r="AH107" s="127">
        <f>ROUND(C107*7%,2)+2</f>
        <v>96.5</v>
      </c>
      <c r="AI107" s="127">
        <f>ROUND(D107*11%,2)-0.5</f>
        <v>32.5</v>
      </c>
      <c r="AJ107" s="127">
        <f>ROUND(F107*17%,2)+0.5</f>
        <v>20.05</v>
      </c>
      <c r="AK107" s="127">
        <f t="shared" si="655"/>
        <v>0</v>
      </c>
      <c r="AL107" s="127">
        <f t="shared" si="656"/>
        <v>22.5</v>
      </c>
      <c r="AM107" s="127">
        <f t="shared" si="657"/>
        <v>0</v>
      </c>
      <c r="AN107" s="127">
        <f t="shared" si="658"/>
        <v>123.75</v>
      </c>
      <c r="AO107" s="127">
        <f t="shared" si="667"/>
        <v>0</v>
      </c>
      <c r="AP107" s="127">
        <f t="shared" si="659"/>
        <v>337.5</v>
      </c>
      <c r="AQ107" s="127">
        <f t="shared" si="660"/>
        <v>84.45</v>
      </c>
      <c r="AR107" s="127">
        <f t="shared" si="661"/>
        <v>28.75</v>
      </c>
      <c r="AS107" s="127">
        <f t="shared" si="662"/>
        <v>0</v>
      </c>
      <c r="AT107" s="127">
        <f t="shared" si="663"/>
        <v>62.5</v>
      </c>
      <c r="AU107" s="127">
        <f t="shared" si="664"/>
        <v>0</v>
      </c>
      <c r="AV107" s="127">
        <f t="shared" si="665"/>
        <v>123.75</v>
      </c>
      <c r="AW107" s="127">
        <f t="shared" si="666"/>
        <v>0</v>
      </c>
      <c r="AX107" s="127"/>
      <c r="AY107" s="127"/>
      <c r="AZ107" s="127">
        <f t="shared" si="501"/>
        <v>1013.15</v>
      </c>
      <c r="BA107" s="127">
        <f t="shared" si="355"/>
        <v>182.3</v>
      </c>
      <c r="BB107" s="127">
        <f t="shared" si="531"/>
        <v>71.680000000000007</v>
      </c>
      <c r="BC107" s="127">
        <f t="shared" si="531"/>
        <v>0</v>
      </c>
      <c r="BD107" s="127">
        <f t="shared" si="531"/>
        <v>210</v>
      </c>
      <c r="BE107" s="127">
        <f t="shared" si="444"/>
        <v>0</v>
      </c>
      <c r="BF107" s="127">
        <f t="shared" si="444"/>
        <v>477.5</v>
      </c>
      <c r="BG107" s="127">
        <f t="shared" si="444"/>
        <v>0</v>
      </c>
      <c r="BH107" s="2"/>
      <c r="BI107" s="2"/>
      <c r="BJ107" s="2"/>
      <c r="BK107" s="2"/>
      <c r="BL107" s="8" t="e">
        <f>ROUND(F107-#REF!,2)</f>
        <v>#REF!</v>
      </c>
      <c r="BM107" s="8" t="e">
        <f>ROUND(I107-#REF!,2)</f>
        <v>#REF!</v>
      </c>
    </row>
    <row r="108" spans="1:72" ht="20.100000000000001" customHeight="1" x14ac:dyDescent="0.3">
      <c r="A108" s="15">
        <v>13</v>
      </c>
      <c r="B108" s="24" t="s">
        <v>70</v>
      </c>
      <c r="C108" s="17">
        <v>425</v>
      </c>
      <c r="D108" s="17">
        <v>50</v>
      </c>
      <c r="E108" s="19" t="e">
        <f>C108+D108+#REF!+#REF!</f>
        <v>#REF!</v>
      </c>
      <c r="F108" s="17">
        <v>337</v>
      </c>
      <c r="G108" s="28">
        <v>13</v>
      </c>
      <c r="H108" s="19" t="e">
        <f>F108+G108+#REF!</f>
        <v>#REF!</v>
      </c>
      <c r="I108" s="17">
        <v>40</v>
      </c>
      <c r="J108" s="17">
        <v>5</v>
      </c>
      <c r="K108" s="19">
        <f t="shared" si="644"/>
        <v>45</v>
      </c>
      <c r="L108" s="28">
        <v>75</v>
      </c>
      <c r="M108" s="28">
        <v>5</v>
      </c>
      <c r="N108" s="19">
        <f t="shared" si="682"/>
        <v>80</v>
      </c>
      <c r="O108" s="19">
        <f>C108+F108+I108+L108</f>
        <v>877</v>
      </c>
      <c r="P108" s="20">
        <f>D108+G108+J108+M108</f>
        <v>73</v>
      </c>
      <c r="Q108" s="19">
        <f t="shared" si="640"/>
        <v>950</v>
      </c>
      <c r="R108" s="17">
        <v>96</v>
      </c>
      <c r="S108" s="17">
        <v>7.5</v>
      </c>
      <c r="T108" s="17">
        <v>62.5</v>
      </c>
      <c r="U108" s="17">
        <v>1.95</v>
      </c>
      <c r="V108" s="17">
        <v>10</v>
      </c>
      <c r="W108" s="17">
        <v>0.75</v>
      </c>
      <c r="X108" s="17">
        <v>15</v>
      </c>
      <c r="Y108" s="113">
        <v>0.75</v>
      </c>
      <c r="Z108" s="127">
        <f t="shared" si="647"/>
        <v>86.33</v>
      </c>
      <c r="AA108" s="127">
        <f>ROUND(D108*21.96%-S108,2)-0.02</f>
        <v>3.46</v>
      </c>
      <c r="AB108" s="128">
        <f>ROUND(F108*32.94%-T108,2)-18.31</f>
        <v>30.2</v>
      </c>
      <c r="AC108" s="127">
        <f t="shared" si="649"/>
        <v>0.89</v>
      </c>
      <c r="AD108" s="127">
        <f>ROUND(I108*41%-V108,2)-6.4</f>
        <v>0</v>
      </c>
      <c r="AE108" s="127">
        <f t="shared" si="651"/>
        <v>0.34</v>
      </c>
      <c r="AF108" s="127">
        <v>0</v>
      </c>
      <c r="AG108" s="127">
        <v>0</v>
      </c>
      <c r="AH108" s="127">
        <f t="shared" si="652"/>
        <v>29.75</v>
      </c>
      <c r="AI108" s="127">
        <f t="shared" si="653"/>
        <v>5.5</v>
      </c>
      <c r="AJ108" s="127">
        <f t="shared" si="654"/>
        <v>57.29</v>
      </c>
      <c r="AK108" s="127">
        <f t="shared" si="655"/>
        <v>1.43</v>
      </c>
      <c r="AL108" s="127">
        <f t="shared" si="656"/>
        <v>3.6</v>
      </c>
      <c r="AM108" s="127">
        <f t="shared" si="657"/>
        <v>0.55000000000000004</v>
      </c>
      <c r="AN108" s="127">
        <f t="shared" si="658"/>
        <v>18.75</v>
      </c>
      <c r="AO108" s="127">
        <f>ROUND(M108*18%,2)-0.01</f>
        <v>0.89</v>
      </c>
      <c r="AP108" s="127">
        <f t="shared" si="659"/>
        <v>106.25</v>
      </c>
      <c r="AQ108" s="127">
        <f t="shared" si="660"/>
        <v>14.08</v>
      </c>
      <c r="AR108" s="127">
        <f t="shared" si="661"/>
        <v>84.25</v>
      </c>
      <c r="AS108" s="127">
        <f t="shared" si="662"/>
        <v>3.66</v>
      </c>
      <c r="AT108" s="127">
        <f t="shared" si="663"/>
        <v>10</v>
      </c>
      <c r="AU108" s="127">
        <f t="shared" si="664"/>
        <v>1.41</v>
      </c>
      <c r="AV108" s="127">
        <f t="shared" si="665"/>
        <v>18.75</v>
      </c>
      <c r="AW108" s="127">
        <f t="shared" si="666"/>
        <v>1.41</v>
      </c>
      <c r="AX108" s="127"/>
      <c r="AY108" s="127"/>
      <c r="AZ108" s="127">
        <f t="shared" si="501"/>
        <v>318.33</v>
      </c>
      <c r="BA108" s="127">
        <f t="shared" si="355"/>
        <v>30.54</v>
      </c>
      <c r="BB108" s="127">
        <f t="shared" si="531"/>
        <v>234.23999999999998</v>
      </c>
      <c r="BC108" s="127">
        <f t="shared" si="531"/>
        <v>7.93</v>
      </c>
      <c r="BD108" s="127">
        <f t="shared" si="531"/>
        <v>23.6</v>
      </c>
      <c r="BE108" s="127">
        <f t="shared" si="444"/>
        <v>3.05</v>
      </c>
      <c r="BF108" s="127">
        <f t="shared" si="444"/>
        <v>52.5</v>
      </c>
      <c r="BG108" s="127">
        <f t="shared" si="444"/>
        <v>3.05</v>
      </c>
      <c r="BH108" s="2"/>
      <c r="BI108" s="2"/>
      <c r="BJ108" s="2"/>
      <c r="BK108" s="2"/>
      <c r="BL108" s="8" t="e">
        <f>ROUND(F108-#REF!,2)</f>
        <v>#REF!</v>
      </c>
      <c r="BM108" s="8" t="e">
        <f>ROUND(I108-#REF!,2)</f>
        <v>#REF!</v>
      </c>
    </row>
    <row r="109" spans="1:72" s="6" customFormat="1" ht="20.100000000000001" customHeight="1" x14ac:dyDescent="0.3">
      <c r="A109" s="76"/>
      <c r="B109" s="77" t="s">
        <v>69</v>
      </c>
      <c r="C109" s="78">
        <f>+C107+C108</f>
        <v>1775</v>
      </c>
      <c r="D109" s="78">
        <f t="shared" ref="D109:F109" si="697">+D107+D108</f>
        <v>350</v>
      </c>
      <c r="E109" s="78" t="e">
        <f t="shared" si="697"/>
        <v>#REF!</v>
      </c>
      <c r="F109" s="78">
        <f t="shared" si="697"/>
        <v>452</v>
      </c>
      <c r="G109" s="78">
        <f>+G107+G108</f>
        <v>13</v>
      </c>
      <c r="H109" s="78" t="e">
        <f t="shared" ref="H109" si="698">+H107+H108</f>
        <v>#REF!</v>
      </c>
      <c r="I109" s="78">
        <f t="shared" ref="I109" si="699">+I107+I108</f>
        <v>290</v>
      </c>
      <c r="J109" s="78">
        <f t="shared" ref="J109" si="700">+J107+J108</f>
        <v>5</v>
      </c>
      <c r="K109" s="78">
        <f>+K107+K108</f>
        <v>295</v>
      </c>
      <c r="L109" s="78">
        <f t="shared" ref="L109" si="701">+L107+L108</f>
        <v>570</v>
      </c>
      <c r="M109" s="78">
        <f t="shared" ref="M109:BG109" si="702">+M107+M108</f>
        <v>5</v>
      </c>
      <c r="N109" s="78">
        <f t="shared" si="702"/>
        <v>575</v>
      </c>
      <c r="O109" s="78">
        <f t="shared" si="702"/>
        <v>3087</v>
      </c>
      <c r="P109" s="78">
        <f t="shared" si="702"/>
        <v>373</v>
      </c>
      <c r="Q109" s="78">
        <f t="shared" si="702"/>
        <v>3460</v>
      </c>
      <c r="R109" s="78">
        <f t="shared" si="702"/>
        <v>500</v>
      </c>
      <c r="S109" s="78">
        <f t="shared" si="702"/>
        <v>22.5</v>
      </c>
      <c r="T109" s="78">
        <f t="shared" si="702"/>
        <v>66.25</v>
      </c>
      <c r="U109" s="78">
        <f t="shared" si="702"/>
        <v>1.95</v>
      </c>
      <c r="V109" s="78">
        <f t="shared" si="702"/>
        <v>135</v>
      </c>
      <c r="W109" s="78">
        <f t="shared" si="702"/>
        <v>0.75</v>
      </c>
      <c r="X109" s="78">
        <f t="shared" si="702"/>
        <v>245</v>
      </c>
      <c r="Y109" s="114">
        <f t="shared" si="702"/>
        <v>0.75</v>
      </c>
      <c r="Z109" s="78">
        <f t="shared" si="702"/>
        <v>261.48</v>
      </c>
      <c r="AA109" s="78">
        <f t="shared" si="702"/>
        <v>53.81</v>
      </c>
      <c r="AB109" s="78">
        <f t="shared" si="702"/>
        <v>49.33</v>
      </c>
      <c r="AC109" s="78">
        <f t="shared" si="702"/>
        <v>0.89</v>
      </c>
      <c r="AD109" s="78">
        <f t="shared" si="702"/>
        <v>0</v>
      </c>
      <c r="AE109" s="78">
        <f t="shared" si="702"/>
        <v>0.34</v>
      </c>
      <c r="AF109" s="78">
        <f t="shared" si="702"/>
        <v>0</v>
      </c>
      <c r="AG109" s="78">
        <f t="shared" si="702"/>
        <v>0</v>
      </c>
      <c r="AH109" s="78">
        <f t="shared" si="702"/>
        <v>126.25</v>
      </c>
      <c r="AI109" s="78">
        <f t="shared" si="702"/>
        <v>38</v>
      </c>
      <c r="AJ109" s="78">
        <f t="shared" si="702"/>
        <v>77.34</v>
      </c>
      <c r="AK109" s="78">
        <f t="shared" si="702"/>
        <v>1.43</v>
      </c>
      <c r="AL109" s="78">
        <f t="shared" si="702"/>
        <v>26.1</v>
      </c>
      <c r="AM109" s="78">
        <f t="shared" si="702"/>
        <v>0.55000000000000004</v>
      </c>
      <c r="AN109" s="78">
        <f t="shared" si="702"/>
        <v>142.5</v>
      </c>
      <c r="AO109" s="78">
        <f t="shared" si="702"/>
        <v>0.89</v>
      </c>
      <c r="AP109" s="78">
        <f t="shared" si="702"/>
        <v>443.75</v>
      </c>
      <c r="AQ109" s="78">
        <f t="shared" si="702"/>
        <v>98.53</v>
      </c>
      <c r="AR109" s="78">
        <f t="shared" si="702"/>
        <v>113</v>
      </c>
      <c r="AS109" s="78">
        <f t="shared" si="702"/>
        <v>3.66</v>
      </c>
      <c r="AT109" s="78">
        <f t="shared" si="702"/>
        <v>72.5</v>
      </c>
      <c r="AU109" s="78">
        <f t="shared" si="702"/>
        <v>1.41</v>
      </c>
      <c r="AV109" s="78">
        <f t="shared" si="702"/>
        <v>142.5</v>
      </c>
      <c r="AW109" s="78">
        <f t="shared" si="702"/>
        <v>1.41</v>
      </c>
      <c r="AX109" s="78">
        <f t="shared" si="702"/>
        <v>0</v>
      </c>
      <c r="AY109" s="78">
        <f t="shared" si="702"/>
        <v>0</v>
      </c>
      <c r="AZ109" s="78">
        <f t="shared" si="702"/>
        <v>1331.48</v>
      </c>
      <c r="BA109" s="78">
        <f t="shared" si="702"/>
        <v>212.84</v>
      </c>
      <c r="BB109" s="78">
        <f t="shared" si="702"/>
        <v>305.91999999999996</v>
      </c>
      <c r="BC109" s="78">
        <f t="shared" si="702"/>
        <v>7.93</v>
      </c>
      <c r="BD109" s="78">
        <f t="shared" si="702"/>
        <v>233.6</v>
      </c>
      <c r="BE109" s="78">
        <f t="shared" si="702"/>
        <v>3.05</v>
      </c>
      <c r="BF109" s="78">
        <f t="shared" si="702"/>
        <v>530</v>
      </c>
      <c r="BG109" s="78">
        <f t="shared" si="702"/>
        <v>3.05</v>
      </c>
      <c r="BH109" s="78"/>
      <c r="BI109" s="78"/>
      <c r="BJ109" s="78"/>
      <c r="BK109" s="78"/>
      <c r="BL109" s="78" t="e">
        <f t="shared" ref="BL109:BT109" si="703">+BL107+BL108</f>
        <v>#REF!</v>
      </c>
      <c r="BM109" s="78" t="e">
        <f t="shared" si="703"/>
        <v>#REF!</v>
      </c>
      <c r="BN109" s="78">
        <f t="shared" si="703"/>
        <v>0</v>
      </c>
      <c r="BO109" s="78">
        <f t="shared" si="703"/>
        <v>0</v>
      </c>
      <c r="BP109" s="78">
        <f t="shared" si="703"/>
        <v>0</v>
      </c>
      <c r="BQ109" s="78">
        <f t="shared" si="703"/>
        <v>0</v>
      </c>
      <c r="BR109" s="78">
        <f t="shared" si="703"/>
        <v>0</v>
      </c>
      <c r="BS109" s="78">
        <f t="shared" si="703"/>
        <v>0</v>
      </c>
      <c r="BT109" s="78">
        <f t="shared" si="703"/>
        <v>0</v>
      </c>
    </row>
    <row r="110" spans="1:72" s="6" customFormat="1" ht="20.100000000000001" customHeight="1" x14ac:dyDescent="0.3">
      <c r="A110" s="15">
        <v>14</v>
      </c>
      <c r="B110" s="16" t="s">
        <v>71</v>
      </c>
      <c r="C110" s="17">
        <v>550</v>
      </c>
      <c r="D110" s="17">
        <v>50</v>
      </c>
      <c r="E110" s="19" t="e">
        <f>C110+D110+#REF!+#REF!</f>
        <v>#REF!</v>
      </c>
      <c r="F110" s="17">
        <v>0</v>
      </c>
      <c r="G110" s="28">
        <v>10</v>
      </c>
      <c r="H110" s="19" t="e">
        <f>F110+G110+#REF!</f>
        <v>#REF!</v>
      </c>
      <c r="I110" s="17">
        <v>14</v>
      </c>
      <c r="J110" s="17">
        <v>0</v>
      </c>
      <c r="K110" s="19">
        <f t="shared" si="644"/>
        <v>14</v>
      </c>
      <c r="L110" s="28">
        <v>25</v>
      </c>
      <c r="M110" s="28">
        <v>0</v>
      </c>
      <c r="N110" s="19">
        <f t="shared" si="682"/>
        <v>25</v>
      </c>
      <c r="O110" s="19">
        <f>C110+F110+I110+L110</f>
        <v>589</v>
      </c>
      <c r="P110" s="20">
        <f>D110+G110+J110+M110</f>
        <v>60</v>
      </c>
      <c r="Q110" s="19">
        <f t="shared" si="640"/>
        <v>649</v>
      </c>
      <c r="R110" s="17">
        <v>120</v>
      </c>
      <c r="S110" s="17">
        <v>7.5</v>
      </c>
      <c r="T110" s="17">
        <v>0</v>
      </c>
      <c r="U110" s="17">
        <v>1.5</v>
      </c>
      <c r="V110" s="17">
        <v>3.5</v>
      </c>
      <c r="W110" s="17">
        <v>0</v>
      </c>
      <c r="X110" s="17">
        <v>3.75</v>
      </c>
      <c r="Y110" s="113">
        <v>0</v>
      </c>
      <c r="Z110" s="127">
        <f t="shared" si="647"/>
        <v>115.95</v>
      </c>
      <c r="AA110" s="127">
        <f t="shared" si="674"/>
        <v>3.46</v>
      </c>
      <c r="AB110" s="127">
        <f t="shared" si="648"/>
        <v>0</v>
      </c>
      <c r="AC110" s="127">
        <f t="shared" si="649"/>
        <v>0.69</v>
      </c>
      <c r="AD110" s="127">
        <f t="shared" si="650"/>
        <v>2.2400000000000002</v>
      </c>
      <c r="AE110" s="127">
        <f t="shared" si="651"/>
        <v>0</v>
      </c>
      <c r="AF110" s="127">
        <v>0</v>
      </c>
      <c r="AG110" s="127">
        <v>0</v>
      </c>
      <c r="AH110" s="127">
        <f t="shared" si="652"/>
        <v>38.5</v>
      </c>
      <c r="AI110" s="127">
        <f t="shared" si="653"/>
        <v>5.5</v>
      </c>
      <c r="AJ110" s="127">
        <f t="shared" si="654"/>
        <v>0</v>
      </c>
      <c r="AK110" s="127">
        <f t="shared" si="655"/>
        <v>1.1000000000000001</v>
      </c>
      <c r="AL110" s="127">
        <f t="shared" si="656"/>
        <v>1.26</v>
      </c>
      <c r="AM110" s="127">
        <f t="shared" si="657"/>
        <v>0</v>
      </c>
      <c r="AN110" s="127">
        <f t="shared" si="658"/>
        <v>6.25</v>
      </c>
      <c r="AO110" s="127">
        <f t="shared" si="667"/>
        <v>0</v>
      </c>
      <c r="AP110" s="127">
        <f t="shared" si="659"/>
        <v>137.5</v>
      </c>
      <c r="AQ110" s="127">
        <f t="shared" si="660"/>
        <v>14.08</v>
      </c>
      <c r="AR110" s="127">
        <f t="shared" si="661"/>
        <v>0</v>
      </c>
      <c r="AS110" s="127">
        <f t="shared" si="662"/>
        <v>2.82</v>
      </c>
      <c r="AT110" s="127">
        <f t="shared" si="663"/>
        <v>3.5</v>
      </c>
      <c r="AU110" s="127">
        <f t="shared" si="664"/>
        <v>0</v>
      </c>
      <c r="AV110" s="127">
        <f t="shared" si="665"/>
        <v>6.25</v>
      </c>
      <c r="AW110" s="127">
        <f t="shared" si="666"/>
        <v>0</v>
      </c>
      <c r="AX110" s="127"/>
      <c r="AY110" s="127"/>
      <c r="AZ110" s="127">
        <f t="shared" si="501"/>
        <v>411.95</v>
      </c>
      <c r="BA110" s="127">
        <f t="shared" si="355"/>
        <v>30.54</v>
      </c>
      <c r="BB110" s="127">
        <f t="shared" si="531"/>
        <v>0</v>
      </c>
      <c r="BC110" s="127">
        <f t="shared" si="531"/>
        <v>6.1099999999999994</v>
      </c>
      <c r="BD110" s="127">
        <f t="shared" si="531"/>
        <v>10.5</v>
      </c>
      <c r="BE110" s="127">
        <f t="shared" si="444"/>
        <v>0</v>
      </c>
      <c r="BF110" s="127">
        <f t="shared" si="444"/>
        <v>16.25</v>
      </c>
      <c r="BG110" s="127">
        <f t="shared" si="444"/>
        <v>0</v>
      </c>
      <c r="BH110" s="2"/>
      <c r="BI110" s="2"/>
      <c r="BJ110" s="2"/>
      <c r="BK110" s="2"/>
      <c r="BL110" s="8" t="e">
        <f>ROUND(F110-#REF!,2)</f>
        <v>#REF!</v>
      </c>
      <c r="BM110" s="8" t="e">
        <f>ROUND(I110-#REF!,2)</f>
        <v>#REF!</v>
      </c>
    </row>
    <row r="111" spans="1:72" ht="20.100000000000001" customHeight="1" x14ac:dyDescent="0.3">
      <c r="A111" s="15">
        <v>15</v>
      </c>
      <c r="B111" s="16" t="s">
        <v>72</v>
      </c>
      <c r="C111" s="17">
        <v>175</v>
      </c>
      <c r="D111" s="17">
        <v>15</v>
      </c>
      <c r="E111" s="19" t="e">
        <f>C111+D111+#REF!+#REF!</f>
        <v>#REF!</v>
      </c>
      <c r="F111" s="17">
        <v>75</v>
      </c>
      <c r="G111" s="28">
        <v>5</v>
      </c>
      <c r="H111" s="19" t="e">
        <f>F111+G111+#REF!</f>
        <v>#REF!</v>
      </c>
      <c r="I111" s="17">
        <v>10</v>
      </c>
      <c r="J111" s="17">
        <v>0</v>
      </c>
      <c r="K111" s="19">
        <f t="shared" si="644"/>
        <v>10</v>
      </c>
      <c r="L111" s="28">
        <v>20</v>
      </c>
      <c r="M111" s="28">
        <v>0</v>
      </c>
      <c r="N111" s="19">
        <f t="shared" si="682"/>
        <v>20</v>
      </c>
      <c r="O111" s="19">
        <f>C111+F111+I111+L111</f>
        <v>280</v>
      </c>
      <c r="P111" s="20">
        <f>D111+G111+J111+M111</f>
        <v>20</v>
      </c>
      <c r="Q111" s="19">
        <f t="shared" si="640"/>
        <v>300</v>
      </c>
      <c r="R111" s="17">
        <v>48</v>
      </c>
      <c r="S111" s="17">
        <v>2.25</v>
      </c>
      <c r="T111" s="17">
        <v>18.75</v>
      </c>
      <c r="U111" s="17">
        <v>0.75</v>
      </c>
      <c r="V111" s="17">
        <v>2.5</v>
      </c>
      <c r="W111" s="17">
        <v>0</v>
      </c>
      <c r="X111" s="17">
        <v>5</v>
      </c>
      <c r="Y111" s="113">
        <v>0</v>
      </c>
      <c r="Z111" s="127">
        <f t="shared" si="647"/>
        <v>27.08</v>
      </c>
      <c r="AA111" s="127">
        <f t="shared" si="674"/>
        <v>1.02</v>
      </c>
      <c r="AB111" s="127">
        <f t="shared" si="648"/>
        <v>5.96</v>
      </c>
      <c r="AC111" s="127">
        <f t="shared" si="649"/>
        <v>0.34</v>
      </c>
      <c r="AD111" s="127">
        <f t="shared" si="650"/>
        <v>1.6</v>
      </c>
      <c r="AE111" s="127">
        <f t="shared" si="651"/>
        <v>0</v>
      </c>
      <c r="AF111" s="127">
        <v>0</v>
      </c>
      <c r="AG111" s="127">
        <v>0</v>
      </c>
      <c r="AH111" s="127">
        <f t="shared" si="652"/>
        <v>12.25</v>
      </c>
      <c r="AI111" s="127">
        <f t="shared" si="653"/>
        <v>1.65</v>
      </c>
      <c r="AJ111" s="127">
        <f t="shared" si="654"/>
        <v>12.75</v>
      </c>
      <c r="AK111" s="127">
        <f t="shared" si="655"/>
        <v>0.55000000000000004</v>
      </c>
      <c r="AL111" s="127">
        <f t="shared" si="656"/>
        <v>0.9</v>
      </c>
      <c r="AM111" s="127">
        <f t="shared" si="657"/>
        <v>0</v>
      </c>
      <c r="AN111" s="127">
        <f t="shared" si="658"/>
        <v>5</v>
      </c>
      <c r="AO111" s="127">
        <f t="shared" si="667"/>
        <v>0</v>
      </c>
      <c r="AP111" s="127">
        <f t="shared" si="659"/>
        <v>43.75</v>
      </c>
      <c r="AQ111" s="127">
        <f t="shared" si="660"/>
        <v>4.22</v>
      </c>
      <c r="AR111" s="127">
        <f t="shared" si="661"/>
        <v>18.75</v>
      </c>
      <c r="AS111" s="127">
        <f t="shared" si="662"/>
        <v>1.41</v>
      </c>
      <c r="AT111" s="127">
        <f t="shared" si="663"/>
        <v>2.5</v>
      </c>
      <c r="AU111" s="127">
        <f t="shared" si="664"/>
        <v>0</v>
      </c>
      <c r="AV111" s="127">
        <f t="shared" si="665"/>
        <v>5</v>
      </c>
      <c r="AW111" s="127">
        <f t="shared" si="666"/>
        <v>0</v>
      </c>
      <c r="AX111" s="127"/>
      <c r="AY111" s="127"/>
      <c r="AZ111" s="127">
        <f t="shared" si="501"/>
        <v>131.07999999999998</v>
      </c>
      <c r="BA111" s="127">
        <f t="shared" si="355"/>
        <v>9.1399999999999988</v>
      </c>
      <c r="BB111" s="127">
        <f t="shared" si="531"/>
        <v>56.21</v>
      </c>
      <c r="BC111" s="127">
        <f t="shared" si="531"/>
        <v>3.05</v>
      </c>
      <c r="BD111" s="127">
        <f t="shared" si="531"/>
        <v>7.5</v>
      </c>
      <c r="BE111" s="127">
        <f t="shared" si="444"/>
        <v>0</v>
      </c>
      <c r="BF111" s="127">
        <f t="shared" si="444"/>
        <v>15</v>
      </c>
      <c r="BG111" s="127">
        <f t="shared" si="444"/>
        <v>0</v>
      </c>
      <c r="BH111" s="2"/>
      <c r="BI111" s="2"/>
      <c r="BJ111" s="2"/>
      <c r="BK111" s="2"/>
      <c r="BL111" s="8" t="e">
        <f>ROUND(F111-#REF!,2)</f>
        <v>#REF!</v>
      </c>
      <c r="BM111" s="8" t="e">
        <f>ROUND(I111-#REF!,2)</f>
        <v>#REF!</v>
      </c>
    </row>
    <row r="112" spans="1:72" s="6" customFormat="1" ht="20.100000000000001" customHeight="1" x14ac:dyDescent="0.3">
      <c r="A112" s="76"/>
      <c r="B112" s="77" t="s">
        <v>71</v>
      </c>
      <c r="C112" s="78">
        <f>+C110+C111</f>
        <v>725</v>
      </c>
      <c r="D112" s="78">
        <f t="shared" ref="D112:H112" si="704">+D110+D111</f>
        <v>65</v>
      </c>
      <c r="E112" s="78" t="e">
        <f t="shared" si="704"/>
        <v>#REF!</v>
      </c>
      <c r="F112" s="78">
        <f t="shared" si="704"/>
        <v>75</v>
      </c>
      <c r="G112" s="78">
        <f t="shared" si="704"/>
        <v>15</v>
      </c>
      <c r="H112" s="78" t="e">
        <f t="shared" si="704"/>
        <v>#REF!</v>
      </c>
      <c r="I112" s="78">
        <f>+I110+I111</f>
        <v>24</v>
      </c>
      <c r="J112" s="78">
        <f t="shared" ref="J112" si="705">+J110+J111</f>
        <v>0</v>
      </c>
      <c r="K112" s="78">
        <f t="shared" ref="K112" si="706">+K110+K111</f>
        <v>24</v>
      </c>
      <c r="L112" s="78">
        <f t="shared" ref="L112" si="707">+L110+L111</f>
        <v>45</v>
      </c>
      <c r="M112" s="78">
        <f t="shared" ref="M112:BH112" si="708">+M110+M111</f>
        <v>0</v>
      </c>
      <c r="N112" s="78">
        <f t="shared" si="708"/>
        <v>45</v>
      </c>
      <c r="O112" s="78">
        <f t="shared" si="708"/>
        <v>869</v>
      </c>
      <c r="P112" s="78">
        <f t="shared" si="708"/>
        <v>80</v>
      </c>
      <c r="Q112" s="78">
        <f t="shared" si="708"/>
        <v>949</v>
      </c>
      <c r="R112" s="78">
        <f t="shared" si="708"/>
        <v>168</v>
      </c>
      <c r="S112" s="78">
        <f t="shared" si="708"/>
        <v>9.75</v>
      </c>
      <c r="T112" s="78">
        <f t="shared" si="708"/>
        <v>18.75</v>
      </c>
      <c r="U112" s="78">
        <f t="shared" si="708"/>
        <v>2.25</v>
      </c>
      <c r="V112" s="78">
        <f t="shared" si="708"/>
        <v>6</v>
      </c>
      <c r="W112" s="78">
        <f t="shared" si="708"/>
        <v>0</v>
      </c>
      <c r="X112" s="78">
        <f t="shared" si="708"/>
        <v>8.75</v>
      </c>
      <c r="Y112" s="114">
        <f t="shared" si="708"/>
        <v>0</v>
      </c>
      <c r="Z112" s="78">
        <f t="shared" si="708"/>
        <v>143.03</v>
      </c>
      <c r="AA112" s="78">
        <f t="shared" si="708"/>
        <v>4.4800000000000004</v>
      </c>
      <c r="AB112" s="78">
        <f t="shared" si="708"/>
        <v>5.96</v>
      </c>
      <c r="AC112" s="78">
        <f t="shared" si="708"/>
        <v>1.03</v>
      </c>
      <c r="AD112" s="78">
        <f t="shared" si="708"/>
        <v>3.8400000000000003</v>
      </c>
      <c r="AE112" s="78">
        <f t="shared" si="708"/>
        <v>0</v>
      </c>
      <c r="AF112" s="78">
        <f t="shared" si="708"/>
        <v>0</v>
      </c>
      <c r="AG112" s="78">
        <f t="shared" si="708"/>
        <v>0</v>
      </c>
      <c r="AH112" s="78">
        <f t="shared" si="708"/>
        <v>50.75</v>
      </c>
      <c r="AI112" s="78">
        <f t="shared" si="708"/>
        <v>7.15</v>
      </c>
      <c r="AJ112" s="78">
        <f t="shared" si="708"/>
        <v>12.75</v>
      </c>
      <c r="AK112" s="78">
        <f t="shared" si="708"/>
        <v>1.6500000000000001</v>
      </c>
      <c r="AL112" s="78">
        <f t="shared" si="708"/>
        <v>2.16</v>
      </c>
      <c r="AM112" s="78">
        <f t="shared" si="708"/>
        <v>0</v>
      </c>
      <c r="AN112" s="78">
        <f t="shared" si="708"/>
        <v>11.25</v>
      </c>
      <c r="AO112" s="78">
        <f t="shared" si="708"/>
        <v>0</v>
      </c>
      <c r="AP112" s="78">
        <f t="shared" si="708"/>
        <v>181.25</v>
      </c>
      <c r="AQ112" s="78">
        <f t="shared" si="708"/>
        <v>18.3</v>
      </c>
      <c r="AR112" s="78">
        <f t="shared" si="708"/>
        <v>18.75</v>
      </c>
      <c r="AS112" s="78">
        <f t="shared" si="708"/>
        <v>4.2299999999999995</v>
      </c>
      <c r="AT112" s="78">
        <f t="shared" si="708"/>
        <v>6</v>
      </c>
      <c r="AU112" s="78">
        <f t="shared" si="708"/>
        <v>0</v>
      </c>
      <c r="AV112" s="78">
        <f t="shared" si="708"/>
        <v>11.25</v>
      </c>
      <c r="AW112" s="78">
        <f t="shared" si="708"/>
        <v>0</v>
      </c>
      <c r="AX112" s="78">
        <f t="shared" si="708"/>
        <v>0</v>
      </c>
      <c r="AY112" s="78">
        <f t="shared" si="708"/>
        <v>0</v>
      </c>
      <c r="AZ112" s="78">
        <f t="shared" si="708"/>
        <v>543.03</v>
      </c>
      <c r="BA112" s="78">
        <f t="shared" si="708"/>
        <v>39.68</v>
      </c>
      <c r="BB112" s="78">
        <f t="shared" si="708"/>
        <v>56.21</v>
      </c>
      <c r="BC112" s="78">
        <f t="shared" si="708"/>
        <v>9.16</v>
      </c>
      <c r="BD112" s="78">
        <f t="shared" si="708"/>
        <v>18</v>
      </c>
      <c r="BE112" s="78">
        <f t="shared" si="708"/>
        <v>0</v>
      </c>
      <c r="BF112" s="78">
        <f t="shared" si="708"/>
        <v>31.25</v>
      </c>
      <c r="BG112" s="78">
        <f t="shared" si="708"/>
        <v>0</v>
      </c>
      <c r="BH112" s="78">
        <f t="shared" si="708"/>
        <v>0</v>
      </c>
      <c r="BI112" s="78"/>
      <c r="BJ112" s="78"/>
      <c r="BK112" s="78"/>
      <c r="BL112" s="78" t="e">
        <f t="shared" ref="BL112:BQ112" si="709">+BL110+BL111</f>
        <v>#REF!</v>
      </c>
      <c r="BM112" s="78" t="e">
        <f t="shared" si="709"/>
        <v>#REF!</v>
      </c>
      <c r="BN112" s="78">
        <f t="shared" si="709"/>
        <v>0</v>
      </c>
      <c r="BO112" s="78">
        <f t="shared" si="709"/>
        <v>0</v>
      </c>
      <c r="BP112" s="78">
        <f t="shared" si="709"/>
        <v>0</v>
      </c>
      <c r="BQ112" s="78">
        <f t="shared" si="709"/>
        <v>0</v>
      </c>
    </row>
    <row r="113" spans="1:73" ht="20.100000000000001" customHeight="1" x14ac:dyDescent="0.3">
      <c r="A113" s="15">
        <v>16</v>
      </c>
      <c r="B113" s="24" t="s">
        <v>73</v>
      </c>
      <c r="C113" s="17">
        <v>655</v>
      </c>
      <c r="D113" s="17">
        <v>100</v>
      </c>
      <c r="E113" s="19" t="e">
        <f>C113+D113+#REF!+#REF!</f>
        <v>#REF!</v>
      </c>
      <c r="F113" s="17">
        <v>40</v>
      </c>
      <c r="G113" s="28">
        <v>0</v>
      </c>
      <c r="H113" s="19" t="e">
        <f>F113+G113+#REF!</f>
        <v>#REF!</v>
      </c>
      <c r="I113" s="17">
        <v>10</v>
      </c>
      <c r="J113" s="17">
        <v>2</v>
      </c>
      <c r="K113" s="19">
        <f t="shared" si="644"/>
        <v>12</v>
      </c>
      <c r="L113" s="28">
        <v>50</v>
      </c>
      <c r="M113" s="28">
        <v>2</v>
      </c>
      <c r="N113" s="19">
        <f t="shared" si="682"/>
        <v>52</v>
      </c>
      <c r="O113" s="19">
        <f>C113+F113+I113+L113</f>
        <v>755</v>
      </c>
      <c r="P113" s="20">
        <f>D113+G113+J113+M113</f>
        <v>104</v>
      </c>
      <c r="Q113" s="19">
        <f t="shared" si="640"/>
        <v>859</v>
      </c>
      <c r="R113" s="17">
        <v>131</v>
      </c>
      <c r="S113" s="17">
        <v>15</v>
      </c>
      <c r="T113" s="17">
        <v>10</v>
      </c>
      <c r="U113" s="17">
        <v>0</v>
      </c>
      <c r="V113" s="17">
        <v>2.5</v>
      </c>
      <c r="W113" s="17">
        <v>0.3</v>
      </c>
      <c r="X113" s="17">
        <v>12.5</v>
      </c>
      <c r="Y113" s="113">
        <v>0.3</v>
      </c>
      <c r="Z113" s="127">
        <f t="shared" si="647"/>
        <v>150</v>
      </c>
      <c r="AA113" s="127">
        <f t="shared" si="674"/>
        <v>6.94</v>
      </c>
      <c r="AB113" s="127">
        <f t="shared" si="648"/>
        <v>3.18</v>
      </c>
      <c r="AC113" s="127">
        <f t="shared" si="649"/>
        <v>0</v>
      </c>
      <c r="AD113" s="127">
        <f t="shared" si="650"/>
        <v>1.6</v>
      </c>
      <c r="AE113" s="127">
        <f t="shared" si="651"/>
        <v>0.14000000000000001</v>
      </c>
      <c r="AF113" s="127">
        <v>0</v>
      </c>
      <c r="AG113" s="127">
        <v>0</v>
      </c>
      <c r="AH113" s="127">
        <f>ROUND(C113*7%,2)+0.6</f>
        <v>46.45</v>
      </c>
      <c r="AI113" s="127">
        <f t="shared" si="653"/>
        <v>11</v>
      </c>
      <c r="AJ113" s="127">
        <f t="shared" si="654"/>
        <v>6.8</v>
      </c>
      <c r="AK113" s="127">
        <f t="shared" si="655"/>
        <v>0</v>
      </c>
      <c r="AL113" s="127">
        <f t="shared" si="656"/>
        <v>0.9</v>
      </c>
      <c r="AM113" s="127">
        <f t="shared" si="657"/>
        <v>0.22</v>
      </c>
      <c r="AN113" s="127">
        <f t="shared" si="658"/>
        <v>12.5</v>
      </c>
      <c r="AO113" s="127">
        <f t="shared" si="667"/>
        <v>0.36</v>
      </c>
      <c r="AP113" s="127">
        <f t="shared" si="659"/>
        <v>163.75</v>
      </c>
      <c r="AQ113" s="127">
        <f t="shared" si="660"/>
        <v>28.15</v>
      </c>
      <c r="AR113" s="127">
        <f t="shared" si="661"/>
        <v>10</v>
      </c>
      <c r="AS113" s="127">
        <f t="shared" si="662"/>
        <v>0</v>
      </c>
      <c r="AT113" s="127">
        <f t="shared" si="663"/>
        <v>2.5</v>
      </c>
      <c r="AU113" s="127">
        <f t="shared" si="664"/>
        <v>0.56000000000000005</v>
      </c>
      <c r="AV113" s="127">
        <f t="shared" si="665"/>
        <v>12.5</v>
      </c>
      <c r="AW113" s="127">
        <f t="shared" si="666"/>
        <v>0.56000000000000005</v>
      </c>
      <c r="AX113" s="127"/>
      <c r="AY113" s="127"/>
      <c r="AZ113" s="127">
        <f t="shared" si="501"/>
        <v>491.2</v>
      </c>
      <c r="BA113" s="127">
        <f t="shared" si="355"/>
        <v>61.089999999999996</v>
      </c>
      <c r="BB113" s="127">
        <f t="shared" si="531"/>
        <v>29.98</v>
      </c>
      <c r="BC113" s="127">
        <f t="shared" si="531"/>
        <v>0</v>
      </c>
      <c r="BD113" s="127">
        <f t="shared" si="531"/>
        <v>7.5</v>
      </c>
      <c r="BE113" s="127">
        <f t="shared" si="444"/>
        <v>1.22</v>
      </c>
      <c r="BF113" s="127">
        <f t="shared" si="444"/>
        <v>37.5</v>
      </c>
      <c r="BG113" s="127">
        <f t="shared" si="444"/>
        <v>1.22</v>
      </c>
      <c r="BH113" s="2"/>
      <c r="BI113" s="2"/>
      <c r="BJ113" s="2"/>
      <c r="BK113" s="2"/>
      <c r="BL113" s="8" t="e">
        <f>ROUND(F113-#REF!,2)</f>
        <v>#REF!</v>
      </c>
      <c r="BM113" s="8" t="e">
        <f>ROUND(I113-#REF!,2)</f>
        <v>#REF!</v>
      </c>
    </row>
    <row r="114" spans="1:73" ht="20.100000000000001" customHeight="1" x14ac:dyDescent="0.3">
      <c r="A114" s="15">
        <v>17</v>
      </c>
      <c r="B114" s="16" t="s">
        <v>74</v>
      </c>
      <c r="C114" s="17">
        <v>365</v>
      </c>
      <c r="D114" s="17">
        <v>50</v>
      </c>
      <c r="E114" s="19" t="e">
        <f>C114+D114+#REF!+#REF!</f>
        <v>#REF!</v>
      </c>
      <c r="F114" s="17">
        <v>100</v>
      </c>
      <c r="G114" s="28">
        <v>5</v>
      </c>
      <c r="H114" s="19" t="e">
        <f>F114+G114+#REF!</f>
        <v>#REF!</v>
      </c>
      <c r="I114" s="17">
        <v>10</v>
      </c>
      <c r="J114" s="17">
        <v>2</v>
      </c>
      <c r="K114" s="19">
        <f t="shared" si="644"/>
        <v>12</v>
      </c>
      <c r="L114" s="28">
        <v>35</v>
      </c>
      <c r="M114" s="28">
        <v>2</v>
      </c>
      <c r="N114" s="19">
        <f t="shared" si="682"/>
        <v>37</v>
      </c>
      <c r="O114" s="19">
        <f>C114+F114+I114+L114</f>
        <v>510</v>
      </c>
      <c r="P114" s="20">
        <f>D114+G114+J114+M114</f>
        <v>59</v>
      </c>
      <c r="Q114" s="19">
        <f t="shared" si="640"/>
        <v>569</v>
      </c>
      <c r="R114" s="17">
        <v>66</v>
      </c>
      <c r="S114" s="17">
        <v>7.5</v>
      </c>
      <c r="T114" s="17">
        <v>11.25</v>
      </c>
      <c r="U114" s="17">
        <v>0.75</v>
      </c>
      <c r="V114" s="17">
        <v>2.5</v>
      </c>
      <c r="W114" s="17">
        <v>0.3</v>
      </c>
      <c r="X114" s="17">
        <v>2.5</v>
      </c>
      <c r="Y114" s="113">
        <v>0.3</v>
      </c>
      <c r="Z114" s="127">
        <f t="shared" si="647"/>
        <v>90.59</v>
      </c>
      <c r="AA114" s="127">
        <f t="shared" si="674"/>
        <v>3.46</v>
      </c>
      <c r="AB114" s="128">
        <f>ROUND(F114*32.94%-T114,2)-5.15</f>
        <v>16.54</v>
      </c>
      <c r="AC114" s="127">
        <f t="shared" si="649"/>
        <v>0.34</v>
      </c>
      <c r="AD114" s="127">
        <f t="shared" si="650"/>
        <v>1.6</v>
      </c>
      <c r="AE114" s="127">
        <f t="shared" si="651"/>
        <v>0.14000000000000001</v>
      </c>
      <c r="AF114" s="127">
        <v>0</v>
      </c>
      <c r="AG114" s="127">
        <v>0</v>
      </c>
      <c r="AH114" s="127">
        <f t="shared" si="652"/>
        <v>25.55</v>
      </c>
      <c r="AI114" s="127">
        <f t="shared" si="653"/>
        <v>5.5</v>
      </c>
      <c r="AJ114" s="127">
        <f t="shared" si="654"/>
        <v>17</v>
      </c>
      <c r="AK114" s="127">
        <f t="shared" si="655"/>
        <v>0.55000000000000004</v>
      </c>
      <c r="AL114" s="127">
        <f t="shared" si="656"/>
        <v>0.9</v>
      </c>
      <c r="AM114" s="127">
        <f t="shared" si="657"/>
        <v>0.22</v>
      </c>
      <c r="AN114" s="127">
        <f t="shared" si="658"/>
        <v>8.75</v>
      </c>
      <c r="AO114" s="127">
        <f t="shared" si="667"/>
        <v>0.36</v>
      </c>
      <c r="AP114" s="127">
        <f t="shared" si="659"/>
        <v>91.25</v>
      </c>
      <c r="AQ114" s="127">
        <f t="shared" si="660"/>
        <v>14.08</v>
      </c>
      <c r="AR114" s="127">
        <f t="shared" si="661"/>
        <v>25</v>
      </c>
      <c r="AS114" s="127">
        <f t="shared" si="662"/>
        <v>1.41</v>
      </c>
      <c r="AT114" s="127">
        <f t="shared" si="663"/>
        <v>2.5</v>
      </c>
      <c r="AU114" s="127">
        <f t="shared" si="664"/>
        <v>0.56000000000000005</v>
      </c>
      <c r="AV114" s="127">
        <f t="shared" si="665"/>
        <v>8.75</v>
      </c>
      <c r="AW114" s="127">
        <f t="shared" si="666"/>
        <v>0.56000000000000005</v>
      </c>
      <c r="AX114" s="127"/>
      <c r="AY114" s="127"/>
      <c r="AZ114" s="127">
        <f t="shared" si="501"/>
        <v>273.39</v>
      </c>
      <c r="BA114" s="127">
        <f t="shared" si="355"/>
        <v>30.54</v>
      </c>
      <c r="BB114" s="127">
        <f t="shared" si="531"/>
        <v>69.789999999999992</v>
      </c>
      <c r="BC114" s="127">
        <f t="shared" si="531"/>
        <v>3.05</v>
      </c>
      <c r="BD114" s="127">
        <f t="shared" si="531"/>
        <v>7.5</v>
      </c>
      <c r="BE114" s="127">
        <f t="shared" si="444"/>
        <v>1.22</v>
      </c>
      <c r="BF114" s="127">
        <f t="shared" si="444"/>
        <v>20</v>
      </c>
      <c r="BG114" s="127">
        <f t="shared" si="444"/>
        <v>1.22</v>
      </c>
      <c r="BH114" s="2"/>
      <c r="BI114" s="2"/>
      <c r="BJ114" s="2"/>
      <c r="BK114" s="2"/>
      <c r="BL114" s="8" t="e">
        <f>ROUND(F114-#REF!,2)</f>
        <v>#REF!</v>
      </c>
      <c r="BM114" s="8" t="e">
        <f>ROUND(I114-#REF!,2)</f>
        <v>#REF!</v>
      </c>
    </row>
    <row r="115" spans="1:73" s="6" customFormat="1" ht="20.100000000000001" customHeight="1" x14ac:dyDescent="0.3">
      <c r="A115" s="76"/>
      <c r="B115" s="85" t="s">
        <v>73</v>
      </c>
      <c r="C115" s="78">
        <f>+C113+C114</f>
        <v>1020</v>
      </c>
      <c r="D115" s="78">
        <f t="shared" ref="D115:F115" si="710">+D113+D114</f>
        <v>150</v>
      </c>
      <c r="E115" s="78" t="e">
        <f t="shared" si="710"/>
        <v>#REF!</v>
      </c>
      <c r="F115" s="78">
        <f t="shared" si="710"/>
        <v>140</v>
      </c>
      <c r="G115" s="78">
        <f t="shared" ref="G115" si="711">+G113+G114</f>
        <v>5</v>
      </c>
      <c r="H115" s="78" t="e">
        <f t="shared" ref="H115:I115" si="712">+H113+H114</f>
        <v>#REF!</v>
      </c>
      <c r="I115" s="78">
        <f t="shared" si="712"/>
        <v>20</v>
      </c>
      <c r="J115" s="78">
        <f t="shared" ref="J115" si="713">+J113+J114</f>
        <v>4</v>
      </c>
      <c r="K115" s="78">
        <f t="shared" ref="K115:L115" si="714">+K113+K114</f>
        <v>24</v>
      </c>
      <c r="L115" s="78">
        <f t="shared" si="714"/>
        <v>85</v>
      </c>
      <c r="M115" s="78">
        <f>+M113+M114</f>
        <v>4</v>
      </c>
      <c r="N115" s="78">
        <f t="shared" ref="N115:BG115" si="715">+N113+N114</f>
        <v>89</v>
      </c>
      <c r="O115" s="78">
        <f t="shared" si="715"/>
        <v>1265</v>
      </c>
      <c r="P115" s="78">
        <f t="shared" si="715"/>
        <v>163</v>
      </c>
      <c r="Q115" s="78">
        <f t="shared" si="715"/>
        <v>1428</v>
      </c>
      <c r="R115" s="78">
        <f t="shared" si="715"/>
        <v>197</v>
      </c>
      <c r="S115" s="78">
        <f t="shared" si="715"/>
        <v>22.5</v>
      </c>
      <c r="T115" s="78">
        <f t="shared" si="715"/>
        <v>21.25</v>
      </c>
      <c r="U115" s="78">
        <f t="shared" si="715"/>
        <v>0.75</v>
      </c>
      <c r="V115" s="78">
        <f t="shared" si="715"/>
        <v>5</v>
      </c>
      <c r="W115" s="78">
        <f t="shared" si="715"/>
        <v>0.6</v>
      </c>
      <c r="X115" s="78">
        <f t="shared" si="715"/>
        <v>15</v>
      </c>
      <c r="Y115" s="114">
        <f t="shared" si="715"/>
        <v>0.6</v>
      </c>
      <c r="Z115" s="78">
        <f t="shared" si="715"/>
        <v>240.59</v>
      </c>
      <c r="AA115" s="78">
        <f t="shared" si="715"/>
        <v>10.4</v>
      </c>
      <c r="AB115" s="78">
        <f t="shared" si="715"/>
        <v>19.72</v>
      </c>
      <c r="AC115" s="78">
        <f t="shared" si="715"/>
        <v>0.34</v>
      </c>
      <c r="AD115" s="78">
        <f t="shared" si="715"/>
        <v>3.2</v>
      </c>
      <c r="AE115" s="78">
        <f t="shared" si="715"/>
        <v>0.28000000000000003</v>
      </c>
      <c r="AF115" s="78">
        <f t="shared" si="715"/>
        <v>0</v>
      </c>
      <c r="AG115" s="78">
        <f t="shared" si="715"/>
        <v>0</v>
      </c>
      <c r="AH115" s="78">
        <f t="shared" si="715"/>
        <v>72</v>
      </c>
      <c r="AI115" s="78">
        <f t="shared" si="715"/>
        <v>16.5</v>
      </c>
      <c r="AJ115" s="78">
        <f t="shared" si="715"/>
        <v>23.8</v>
      </c>
      <c r="AK115" s="78">
        <f t="shared" si="715"/>
        <v>0.55000000000000004</v>
      </c>
      <c r="AL115" s="78">
        <f t="shared" si="715"/>
        <v>1.8</v>
      </c>
      <c r="AM115" s="78">
        <f t="shared" si="715"/>
        <v>0.44</v>
      </c>
      <c r="AN115" s="78">
        <f t="shared" si="715"/>
        <v>21.25</v>
      </c>
      <c r="AO115" s="78">
        <f t="shared" si="715"/>
        <v>0.72</v>
      </c>
      <c r="AP115" s="78">
        <f t="shared" si="715"/>
        <v>255</v>
      </c>
      <c r="AQ115" s="78">
        <f t="shared" si="715"/>
        <v>42.23</v>
      </c>
      <c r="AR115" s="78">
        <f t="shared" si="715"/>
        <v>35</v>
      </c>
      <c r="AS115" s="78">
        <f t="shared" si="715"/>
        <v>1.41</v>
      </c>
      <c r="AT115" s="78">
        <f t="shared" si="715"/>
        <v>5</v>
      </c>
      <c r="AU115" s="78">
        <f t="shared" si="715"/>
        <v>1.1200000000000001</v>
      </c>
      <c r="AV115" s="78">
        <f t="shared" si="715"/>
        <v>21.25</v>
      </c>
      <c r="AW115" s="78">
        <f t="shared" si="715"/>
        <v>1.1200000000000001</v>
      </c>
      <c r="AX115" s="78">
        <f t="shared" si="715"/>
        <v>0</v>
      </c>
      <c r="AY115" s="78">
        <f t="shared" si="715"/>
        <v>0</v>
      </c>
      <c r="AZ115" s="78">
        <f t="shared" si="715"/>
        <v>764.58999999999992</v>
      </c>
      <c r="BA115" s="78">
        <f t="shared" si="715"/>
        <v>91.63</v>
      </c>
      <c r="BB115" s="78">
        <f t="shared" si="715"/>
        <v>99.77</v>
      </c>
      <c r="BC115" s="78">
        <f t="shared" si="715"/>
        <v>3.05</v>
      </c>
      <c r="BD115" s="78">
        <f t="shared" si="715"/>
        <v>15</v>
      </c>
      <c r="BE115" s="78">
        <f t="shared" si="715"/>
        <v>2.44</v>
      </c>
      <c r="BF115" s="78">
        <f t="shared" si="715"/>
        <v>57.5</v>
      </c>
      <c r="BG115" s="78">
        <f t="shared" si="715"/>
        <v>2.44</v>
      </c>
      <c r="BH115" s="84"/>
      <c r="BI115" s="84"/>
      <c r="BJ115" s="84"/>
      <c r="BK115" s="84"/>
      <c r="BL115" s="78" t="e">
        <f t="shared" ref="BL115:BU115" si="716">+BL113+BL114</f>
        <v>#REF!</v>
      </c>
      <c r="BM115" s="78" t="e">
        <f t="shared" si="716"/>
        <v>#REF!</v>
      </c>
      <c r="BN115" s="78">
        <f t="shared" si="716"/>
        <v>0</v>
      </c>
      <c r="BO115" s="78">
        <f t="shared" si="716"/>
        <v>0</v>
      </c>
      <c r="BP115" s="78">
        <f t="shared" si="716"/>
        <v>0</v>
      </c>
      <c r="BQ115" s="78">
        <f t="shared" si="716"/>
        <v>0</v>
      </c>
      <c r="BR115" s="78">
        <f t="shared" si="716"/>
        <v>0</v>
      </c>
      <c r="BS115" s="78">
        <f t="shared" si="716"/>
        <v>0</v>
      </c>
      <c r="BT115" s="78">
        <f t="shared" si="716"/>
        <v>0</v>
      </c>
      <c r="BU115" s="78">
        <f t="shared" si="716"/>
        <v>0</v>
      </c>
    </row>
    <row r="116" spans="1:73" ht="20.100000000000001" customHeight="1" x14ac:dyDescent="0.3">
      <c r="A116" s="15">
        <v>18</v>
      </c>
      <c r="B116" s="16" t="s">
        <v>75</v>
      </c>
      <c r="C116" s="17">
        <v>300</v>
      </c>
      <c r="D116" s="17">
        <v>100</v>
      </c>
      <c r="E116" s="19" t="e">
        <f>C116+D116+#REF!+#REF!</f>
        <v>#REF!</v>
      </c>
      <c r="F116" s="17">
        <v>0</v>
      </c>
      <c r="G116" s="28">
        <v>0</v>
      </c>
      <c r="H116" s="19" t="e">
        <f>F116+G116+#REF!</f>
        <v>#REF!</v>
      </c>
      <c r="I116" s="17">
        <v>0</v>
      </c>
      <c r="J116" s="17">
        <v>0</v>
      </c>
      <c r="K116" s="19">
        <f t="shared" si="644"/>
        <v>0</v>
      </c>
      <c r="L116" s="28">
        <v>40</v>
      </c>
      <c r="M116" s="28">
        <v>10</v>
      </c>
      <c r="N116" s="19">
        <f t="shared" si="682"/>
        <v>50</v>
      </c>
      <c r="O116" s="19">
        <f t="shared" ref="O116:P118" si="717">C116+F116+I116+L116</f>
        <v>340</v>
      </c>
      <c r="P116" s="20">
        <f t="shared" si="717"/>
        <v>110</v>
      </c>
      <c r="Q116" s="19">
        <f t="shared" si="640"/>
        <v>450</v>
      </c>
      <c r="R116" s="17">
        <v>84</v>
      </c>
      <c r="S116" s="17">
        <v>15</v>
      </c>
      <c r="T116" s="17">
        <v>0</v>
      </c>
      <c r="U116" s="17">
        <v>0</v>
      </c>
      <c r="V116" s="17">
        <v>0</v>
      </c>
      <c r="W116" s="17">
        <v>0</v>
      </c>
      <c r="X116" s="17">
        <v>3.75</v>
      </c>
      <c r="Y116" s="113">
        <v>1.5</v>
      </c>
      <c r="Z116" s="127">
        <f t="shared" si="647"/>
        <v>44.7</v>
      </c>
      <c r="AA116" s="127">
        <f t="shared" si="674"/>
        <v>6.94</v>
      </c>
      <c r="AB116" s="127">
        <f t="shared" si="648"/>
        <v>0</v>
      </c>
      <c r="AC116" s="127">
        <f t="shared" si="649"/>
        <v>0</v>
      </c>
      <c r="AD116" s="127">
        <f t="shared" si="650"/>
        <v>0</v>
      </c>
      <c r="AE116" s="127">
        <f t="shared" si="651"/>
        <v>0</v>
      </c>
      <c r="AF116" s="127">
        <v>0</v>
      </c>
      <c r="AG116" s="127">
        <v>0</v>
      </c>
      <c r="AH116" s="127">
        <f t="shared" si="652"/>
        <v>21</v>
      </c>
      <c r="AI116" s="127">
        <f t="shared" si="653"/>
        <v>11</v>
      </c>
      <c r="AJ116" s="127">
        <f t="shared" si="654"/>
        <v>0</v>
      </c>
      <c r="AK116" s="127">
        <f t="shared" si="655"/>
        <v>0</v>
      </c>
      <c r="AL116" s="127">
        <f t="shared" si="656"/>
        <v>0</v>
      </c>
      <c r="AM116" s="127">
        <f t="shared" si="657"/>
        <v>0</v>
      </c>
      <c r="AN116" s="127">
        <f t="shared" si="658"/>
        <v>10</v>
      </c>
      <c r="AO116" s="127">
        <f t="shared" si="667"/>
        <v>1.8</v>
      </c>
      <c r="AP116" s="127">
        <f t="shared" si="659"/>
        <v>75</v>
      </c>
      <c r="AQ116" s="127">
        <f t="shared" si="660"/>
        <v>28.15</v>
      </c>
      <c r="AR116" s="127">
        <f t="shared" si="661"/>
        <v>0</v>
      </c>
      <c r="AS116" s="127">
        <f t="shared" si="662"/>
        <v>0</v>
      </c>
      <c r="AT116" s="127">
        <f t="shared" si="663"/>
        <v>0</v>
      </c>
      <c r="AU116" s="127">
        <f t="shared" si="664"/>
        <v>0</v>
      </c>
      <c r="AV116" s="127">
        <f t="shared" si="665"/>
        <v>10</v>
      </c>
      <c r="AW116" s="127">
        <f t="shared" si="666"/>
        <v>2.82</v>
      </c>
      <c r="AX116" s="127"/>
      <c r="AY116" s="127"/>
      <c r="AZ116" s="127">
        <f t="shared" si="501"/>
        <v>224.7</v>
      </c>
      <c r="BA116" s="127">
        <f t="shared" si="355"/>
        <v>61.089999999999996</v>
      </c>
      <c r="BB116" s="127">
        <f t="shared" si="531"/>
        <v>0</v>
      </c>
      <c r="BC116" s="127">
        <f t="shared" si="531"/>
        <v>0</v>
      </c>
      <c r="BD116" s="127">
        <f t="shared" si="531"/>
        <v>0</v>
      </c>
      <c r="BE116" s="127">
        <f t="shared" si="444"/>
        <v>0</v>
      </c>
      <c r="BF116" s="127">
        <f t="shared" si="444"/>
        <v>23.75</v>
      </c>
      <c r="BG116" s="127">
        <f t="shared" si="444"/>
        <v>6.12</v>
      </c>
      <c r="BH116" s="2"/>
      <c r="BI116" s="2"/>
      <c r="BJ116" s="2"/>
      <c r="BK116" s="2"/>
      <c r="BL116" s="8" t="e">
        <f>ROUND(F116-#REF!,2)</f>
        <v>#REF!</v>
      </c>
      <c r="BM116" s="8" t="e">
        <f>ROUND(I116-#REF!,2)</f>
        <v>#REF!</v>
      </c>
    </row>
    <row r="117" spans="1:73" ht="20.100000000000001" customHeight="1" x14ac:dyDescent="0.3">
      <c r="A117" s="15">
        <v>19</v>
      </c>
      <c r="B117" s="16" t="s">
        <v>76</v>
      </c>
      <c r="C117" s="17">
        <v>250</v>
      </c>
      <c r="D117" s="17">
        <v>10</v>
      </c>
      <c r="E117" s="19" t="e">
        <f>C117+D117+#REF!+#REF!</f>
        <v>#REF!</v>
      </c>
      <c r="F117" s="17">
        <v>0</v>
      </c>
      <c r="G117" s="28">
        <v>0</v>
      </c>
      <c r="H117" s="19" t="e">
        <f>F117+G117+#REF!</f>
        <v>#REF!</v>
      </c>
      <c r="I117" s="17">
        <v>10</v>
      </c>
      <c r="J117" s="17">
        <v>0</v>
      </c>
      <c r="K117" s="19">
        <f t="shared" si="644"/>
        <v>10</v>
      </c>
      <c r="L117" s="28">
        <v>25</v>
      </c>
      <c r="M117" s="28">
        <v>0</v>
      </c>
      <c r="N117" s="19">
        <f t="shared" si="682"/>
        <v>25</v>
      </c>
      <c r="O117" s="19">
        <f t="shared" si="717"/>
        <v>285</v>
      </c>
      <c r="P117" s="20">
        <f t="shared" si="717"/>
        <v>10</v>
      </c>
      <c r="Q117" s="19">
        <f t="shared" si="640"/>
        <v>295</v>
      </c>
      <c r="R117" s="17">
        <v>48</v>
      </c>
      <c r="S117" s="17">
        <v>1.5</v>
      </c>
      <c r="T117" s="17">
        <v>0</v>
      </c>
      <c r="U117" s="17">
        <v>0</v>
      </c>
      <c r="V117" s="17">
        <v>2.5</v>
      </c>
      <c r="W117" s="17">
        <v>0</v>
      </c>
      <c r="X117" s="17">
        <v>5</v>
      </c>
      <c r="Y117" s="113">
        <v>0</v>
      </c>
      <c r="Z117" s="127">
        <f t="shared" si="647"/>
        <v>59.25</v>
      </c>
      <c r="AA117" s="127">
        <f t="shared" si="674"/>
        <v>0.67999999999999994</v>
      </c>
      <c r="AB117" s="127">
        <f t="shared" si="648"/>
        <v>0</v>
      </c>
      <c r="AC117" s="127">
        <f t="shared" si="649"/>
        <v>0</v>
      </c>
      <c r="AD117" s="127">
        <f t="shared" si="650"/>
        <v>1.6</v>
      </c>
      <c r="AE117" s="127">
        <f t="shared" si="651"/>
        <v>0</v>
      </c>
      <c r="AF117" s="127">
        <v>0</v>
      </c>
      <c r="AG117" s="127">
        <v>0</v>
      </c>
      <c r="AH117" s="127">
        <f t="shared" si="652"/>
        <v>17.5</v>
      </c>
      <c r="AI117" s="127">
        <f t="shared" si="653"/>
        <v>1.1000000000000001</v>
      </c>
      <c r="AJ117" s="127">
        <f t="shared" si="654"/>
        <v>0</v>
      </c>
      <c r="AK117" s="127">
        <f t="shared" si="655"/>
        <v>0</v>
      </c>
      <c r="AL117" s="127">
        <f t="shared" si="656"/>
        <v>0.9</v>
      </c>
      <c r="AM117" s="127">
        <f t="shared" si="657"/>
        <v>0</v>
      </c>
      <c r="AN117" s="127">
        <f t="shared" si="658"/>
        <v>6.25</v>
      </c>
      <c r="AO117" s="127">
        <f t="shared" si="667"/>
        <v>0</v>
      </c>
      <c r="AP117" s="127">
        <f t="shared" si="659"/>
        <v>62.5</v>
      </c>
      <c r="AQ117" s="127">
        <f t="shared" si="660"/>
        <v>2.82</v>
      </c>
      <c r="AR117" s="127">
        <f t="shared" si="661"/>
        <v>0</v>
      </c>
      <c r="AS117" s="127">
        <f t="shared" si="662"/>
        <v>0</v>
      </c>
      <c r="AT117" s="127">
        <f t="shared" si="663"/>
        <v>2.5</v>
      </c>
      <c r="AU117" s="127">
        <f t="shared" si="664"/>
        <v>0</v>
      </c>
      <c r="AV117" s="127">
        <f t="shared" si="665"/>
        <v>6.25</v>
      </c>
      <c r="AW117" s="127">
        <f t="shared" si="666"/>
        <v>0</v>
      </c>
      <c r="AX117" s="127"/>
      <c r="AY117" s="127"/>
      <c r="AZ117" s="127">
        <f t="shared" si="501"/>
        <v>187.25</v>
      </c>
      <c r="BA117" s="127">
        <f t="shared" si="355"/>
        <v>6.1</v>
      </c>
      <c r="BB117" s="127">
        <f t="shared" si="531"/>
        <v>0</v>
      </c>
      <c r="BC117" s="127">
        <f t="shared" si="531"/>
        <v>0</v>
      </c>
      <c r="BD117" s="127">
        <f t="shared" si="531"/>
        <v>7.5</v>
      </c>
      <c r="BE117" s="127">
        <f t="shared" si="444"/>
        <v>0</v>
      </c>
      <c r="BF117" s="127">
        <f t="shared" si="444"/>
        <v>17.5</v>
      </c>
      <c r="BG117" s="127">
        <f t="shared" si="444"/>
        <v>0</v>
      </c>
      <c r="BH117" s="2"/>
      <c r="BI117" s="2"/>
      <c r="BJ117" s="2"/>
      <c r="BK117" s="2"/>
      <c r="BL117" s="8" t="e">
        <f>ROUND(F117-#REF!,2)</f>
        <v>#REF!</v>
      </c>
      <c r="BM117" s="8" t="e">
        <f>ROUND(I117-#REF!,2)</f>
        <v>#REF!</v>
      </c>
    </row>
    <row r="118" spans="1:73" ht="20.100000000000001" customHeight="1" x14ac:dyDescent="0.3">
      <c r="A118" s="15">
        <v>20</v>
      </c>
      <c r="B118" s="16" t="s">
        <v>77</v>
      </c>
      <c r="C118" s="17">
        <v>175</v>
      </c>
      <c r="D118" s="17">
        <v>10</v>
      </c>
      <c r="E118" s="19" t="e">
        <f>C118+D118+#REF!+#REF!</f>
        <v>#REF!</v>
      </c>
      <c r="F118" s="17">
        <v>60</v>
      </c>
      <c r="G118" s="28">
        <v>5</v>
      </c>
      <c r="H118" s="19" t="e">
        <f>F118+G118+#REF!</f>
        <v>#REF!</v>
      </c>
      <c r="I118" s="17">
        <v>10</v>
      </c>
      <c r="J118" s="17">
        <v>0</v>
      </c>
      <c r="K118" s="19">
        <f t="shared" si="644"/>
        <v>10</v>
      </c>
      <c r="L118" s="28">
        <v>20</v>
      </c>
      <c r="M118" s="28">
        <v>0</v>
      </c>
      <c r="N118" s="19">
        <f t="shared" si="682"/>
        <v>20</v>
      </c>
      <c r="O118" s="19">
        <f t="shared" si="717"/>
        <v>265</v>
      </c>
      <c r="P118" s="20">
        <f t="shared" si="717"/>
        <v>15</v>
      </c>
      <c r="Q118" s="19">
        <f t="shared" si="640"/>
        <v>280</v>
      </c>
      <c r="R118" s="17">
        <v>30</v>
      </c>
      <c r="S118" s="17">
        <v>1.5</v>
      </c>
      <c r="T118" s="17">
        <v>15</v>
      </c>
      <c r="U118" s="17">
        <v>0.75</v>
      </c>
      <c r="V118" s="17">
        <v>2.5</v>
      </c>
      <c r="W118" s="17">
        <v>0</v>
      </c>
      <c r="X118" s="17">
        <v>5</v>
      </c>
      <c r="Y118" s="113">
        <v>0</v>
      </c>
      <c r="Z118" s="127">
        <f t="shared" si="647"/>
        <v>45.08</v>
      </c>
      <c r="AA118" s="127">
        <f t="shared" si="674"/>
        <v>0.67999999999999994</v>
      </c>
      <c r="AB118" s="127">
        <f t="shared" si="648"/>
        <v>4.76</v>
      </c>
      <c r="AC118" s="127">
        <f t="shared" si="649"/>
        <v>0.34</v>
      </c>
      <c r="AD118" s="127">
        <f t="shared" si="650"/>
        <v>1.6</v>
      </c>
      <c r="AE118" s="127">
        <f t="shared" si="651"/>
        <v>0</v>
      </c>
      <c r="AF118" s="127">
        <v>0</v>
      </c>
      <c r="AG118" s="127">
        <v>0</v>
      </c>
      <c r="AH118" s="127">
        <f t="shared" si="652"/>
        <v>12.25</v>
      </c>
      <c r="AI118" s="127">
        <f t="shared" si="653"/>
        <v>1.1000000000000001</v>
      </c>
      <c r="AJ118" s="127">
        <f t="shared" si="654"/>
        <v>10.199999999999999</v>
      </c>
      <c r="AK118" s="127">
        <f t="shared" si="655"/>
        <v>0.55000000000000004</v>
      </c>
      <c r="AL118" s="127">
        <f t="shared" si="656"/>
        <v>0.9</v>
      </c>
      <c r="AM118" s="127">
        <f t="shared" si="657"/>
        <v>0</v>
      </c>
      <c r="AN118" s="127">
        <f t="shared" si="658"/>
        <v>5</v>
      </c>
      <c r="AO118" s="127">
        <f t="shared" si="667"/>
        <v>0</v>
      </c>
      <c r="AP118" s="127">
        <f t="shared" si="659"/>
        <v>43.75</v>
      </c>
      <c r="AQ118" s="127">
        <f t="shared" si="660"/>
        <v>2.82</v>
      </c>
      <c r="AR118" s="127">
        <f t="shared" si="661"/>
        <v>15</v>
      </c>
      <c r="AS118" s="127">
        <f t="shared" si="662"/>
        <v>1.41</v>
      </c>
      <c r="AT118" s="127">
        <f t="shared" si="663"/>
        <v>2.5</v>
      </c>
      <c r="AU118" s="127">
        <f t="shared" si="664"/>
        <v>0</v>
      </c>
      <c r="AV118" s="127">
        <f t="shared" si="665"/>
        <v>5</v>
      </c>
      <c r="AW118" s="127">
        <f t="shared" si="666"/>
        <v>0</v>
      </c>
      <c r="AX118" s="127"/>
      <c r="AY118" s="127"/>
      <c r="AZ118" s="127">
        <f t="shared" si="501"/>
        <v>131.07999999999998</v>
      </c>
      <c r="BA118" s="127">
        <f t="shared" si="355"/>
        <v>6.1</v>
      </c>
      <c r="BB118" s="127">
        <f t="shared" si="531"/>
        <v>44.96</v>
      </c>
      <c r="BC118" s="127">
        <f t="shared" si="531"/>
        <v>3.05</v>
      </c>
      <c r="BD118" s="127">
        <f t="shared" si="531"/>
        <v>7.5</v>
      </c>
      <c r="BE118" s="127">
        <f t="shared" si="444"/>
        <v>0</v>
      </c>
      <c r="BF118" s="127">
        <f t="shared" si="444"/>
        <v>15</v>
      </c>
      <c r="BG118" s="127">
        <f t="shared" si="444"/>
        <v>0</v>
      </c>
      <c r="BH118" s="2"/>
      <c r="BI118" s="2"/>
      <c r="BJ118" s="2"/>
      <c r="BK118" s="2"/>
      <c r="BL118" s="8" t="e">
        <f>ROUND(F118-#REF!,2)</f>
        <v>#REF!</v>
      </c>
      <c r="BM118" s="8" t="e">
        <f>ROUND(I118-#REF!,2)</f>
        <v>#REF!</v>
      </c>
    </row>
    <row r="119" spans="1:73" s="6" customFormat="1" ht="19.5" customHeight="1" x14ac:dyDescent="0.3">
      <c r="A119" s="76"/>
      <c r="B119" s="77" t="s">
        <v>76</v>
      </c>
      <c r="C119" s="78">
        <f>+C117+C118</f>
        <v>425</v>
      </c>
      <c r="D119" s="78">
        <f t="shared" ref="D119:G119" si="718">+D117+D118</f>
        <v>20</v>
      </c>
      <c r="E119" s="78" t="e">
        <f t="shared" si="718"/>
        <v>#REF!</v>
      </c>
      <c r="F119" s="78">
        <f t="shared" si="718"/>
        <v>60</v>
      </c>
      <c r="G119" s="78">
        <f t="shared" si="718"/>
        <v>5</v>
      </c>
      <c r="H119" s="78" t="e">
        <f t="shared" ref="H119" si="719">+H117+H118</f>
        <v>#REF!</v>
      </c>
      <c r="I119" s="78">
        <f t="shared" ref="I119" si="720">+I117+I118</f>
        <v>20</v>
      </c>
      <c r="J119" s="78">
        <f t="shared" ref="J119:K119" si="721">+J117+J118</f>
        <v>0</v>
      </c>
      <c r="K119" s="78">
        <f t="shared" si="721"/>
        <v>20</v>
      </c>
      <c r="L119" s="78">
        <f t="shared" ref="L119" si="722">+L117+L118</f>
        <v>45</v>
      </c>
      <c r="M119" s="78">
        <f>+M117+M118</f>
        <v>0</v>
      </c>
      <c r="N119" s="78">
        <f t="shared" ref="N119:BG119" si="723">+N117+N118</f>
        <v>45</v>
      </c>
      <c r="O119" s="78">
        <f t="shared" si="723"/>
        <v>550</v>
      </c>
      <c r="P119" s="78">
        <f t="shared" si="723"/>
        <v>25</v>
      </c>
      <c r="Q119" s="78">
        <f t="shared" si="723"/>
        <v>575</v>
      </c>
      <c r="R119" s="78">
        <f t="shared" si="723"/>
        <v>78</v>
      </c>
      <c r="S119" s="78">
        <f t="shared" si="723"/>
        <v>3</v>
      </c>
      <c r="T119" s="78">
        <f t="shared" si="723"/>
        <v>15</v>
      </c>
      <c r="U119" s="78">
        <f t="shared" si="723"/>
        <v>0.75</v>
      </c>
      <c r="V119" s="78">
        <f t="shared" si="723"/>
        <v>5</v>
      </c>
      <c r="W119" s="78">
        <f t="shared" si="723"/>
        <v>0</v>
      </c>
      <c r="X119" s="78">
        <f t="shared" si="723"/>
        <v>10</v>
      </c>
      <c r="Y119" s="114">
        <f t="shared" si="723"/>
        <v>0</v>
      </c>
      <c r="Z119" s="78">
        <f t="shared" si="723"/>
        <v>104.33</v>
      </c>
      <c r="AA119" s="78">
        <f t="shared" si="723"/>
        <v>1.3599999999999999</v>
      </c>
      <c r="AB119" s="78">
        <f t="shared" si="723"/>
        <v>4.76</v>
      </c>
      <c r="AC119" s="78">
        <f t="shared" si="723"/>
        <v>0.34</v>
      </c>
      <c r="AD119" s="78">
        <f t="shared" si="723"/>
        <v>3.2</v>
      </c>
      <c r="AE119" s="78">
        <f t="shared" si="723"/>
        <v>0</v>
      </c>
      <c r="AF119" s="78">
        <f t="shared" si="723"/>
        <v>0</v>
      </c>
      <c r="AG119" s="78">
        <f t="shared" si="723"/>
        <v>0</v>
      </c>
      <c r="AH119" s="78">
        <f t="shared" si="723"/>
        <v>29.75</v>
      </c>
      <c r="AI119" s="78">
        <f t="shared" si="723"/>
        <v>2.2000000000000002</v>
      </c>
      <c r="AJ119" s="78">
        <f t="shared" si="723"/>
        <v>10.199999999999999</v>
      </c>
      <c r="AK119" s="78">
        <f t="shared" si="723"/>
        <v>0.55000000000000004</v>
      </c>
      <c r="AL119" s="78">
        <f t="shared" si="723"/>
        <v>1.8</v>
      </c>
      <c r="AM119" s="78">
        <f t="shared" si="723"/>
        <v>0</v>
      </c>
      <c r="AN119" s="78">
        <f t="shared" si="723"/>
        <v>11.25</v>
      </c>
      <c r="AO119" s="78">
        <f t="shared" si="723"/>
        <v>0</v>
      </c>
      <c r="AP119" s="78">
        <f t="shared" si="723"/>
        <v>106.25</v>
      </c>
      <c r="AQ119" s="78">
        <f t="shared" si="723"/>
        <v>5.64</v>
      </c>
      <c r="AR119" s="78">
        <f t="shared" si="723"/>
        <v>15</v>
      </c>
      <c r="AS119" s="78">
        <f t="shared" si="723"/>
        <v>1.41</v>
      </c>
      <c r="AT119" s="78">
        <f t="shared" si="723"/>
        <v>5</v>
      </c>
      <c r="AU119" s="78">
        <f t="shared" si="723"/>
        <v>0</v>
      </c>
      <c r="AV119" s="78">
        <f t="shared" si="723"/>
        <v>11.25</v>
      </c>
      <c r="AW119" s="78">
        <f t="shared" si="723"/>
        <v>0</v>
      </c>
      <c r="AX119" s="78">
        <f t="shared" si="723"/>
        <v>0</v>
      </c>
      <c r="AY119" s="78">
        <f t="shared" si="723"/>
        <v>0</v>
      </c>
      <c r="AZ119" s="78">
        <f t="shared" si="723"/>
        <v>318.33</v>
      </c>
      <c r="BA119" s="78">
        <f t="shared" si="723"/>
        <v>12.2</v>
      </c>
      <c r="BB119" s="78">
        <f t="shared" si="723"/>
        <v>44.96</v>
      </c>
      <c r="BC119" s="78">
        <f t="shared" si="723"/>
        <v>3.05</v>
      </c>
      <c r="BD119" s="78">
        <f t="shared" si="723"/>
        <v>15</v>
      </c>
      <c r="BE119" s="78">
        <f t="shared" si="723"/>
        <v>0</v>
      </c>
      <c r="BF119" s="78">
        <f t="shared" si="723"/>
        <v>32.5</v>
      </c>
      <c r="BG119" s="78">
        <f t="shared" si="723"/>
        <v>0</v>
      </c>
      <c r="BH119" s="84"/>
      <c r="BI119" s="84"/>
      <c r="BJ119" s="84"/>
      <c r="BK119" s="84"/>
      <c r="BL119" s="78" t="e">
        <f t="shared" ref="BL119:BP119" si="724">+BL117+BL118</f>
        <v>#REF!</v>
      </c>
      <c r="BM119" s="78" t="e">
        <f t="shared" si="724"/>
        <v>#REF!</v>
      </c>
      <c r="BN119" s="78">
        <f t="shared" si="724"/>
        <v>0</v>
      </c>
      <c r="BO119" s="78">
        <f t="shared" si="724"/>
        <v>0</v>
      </c>
      <c r="BP119" s="78">
        <f t="shared" si="724"/>
        <v>0</v>
      </c>
    </row>
    <row r="120" spans="1:73" ht="20.100000000000001" customHeight="1" x14ac:dyDescent="0.3">
      <c r="A120" s="15">
        <v>21</v>
      </c>
      <c r="B120" s="16" t="s">
        <v>78</v>
      </c>
      <c r="C120" s="17">
        <v>350</v>
      </c>
      <c r="D120" s="17">
        <v>125</v>
      </c>
      <c r="E120" s="19" t="e">
        <f>C120+D120+#REF!+#REF!</f>
        <v>#REF!</v>
      </c>
      <c r="F120" s="17">
        <v>300</v>
      </c>
      <c r="G120" s="28">
        <v>100</v>
      </c>
      <c r="H120" s="19" t="e">
        <f>F120+G120+#REF!</f>
        <v>#REF!</v>
      </c>
      <c r="I120" s="17">
        <v>20</v>
      </c>
      <c r="J120" s="17">
        <v>10</v>
      </c>
      <c r="K120" s="19">
        <f t="shared" si="644"/>
        <v>30</v>
      </c>
      <c r="L120" s="28">
        <v>40</v>
      </c>
      <c r="M120" s="28">
        <v>2</v>
      </c>
      <c r="N120" s="19">
        <f t="shared" si="682"/>
        <v>42</v>
      </c>
      <c r="O120" s="19">
        <f t="shared" ref="O120:P123" si="725">C120+F120+I120+L120</f>
        <v>710</v>
      </c>
      <c r="P120" s="20">
        <f t="shared" si="725"/>
        <v>237</v>
      </c>
      <c r="Q120" s="19">
        <f t="shared" si="640"/>
        <v>947</v>
      </c>
      <c r="R120" s="17">
        <v>144</v>
      </c>
      <c r="S120" s="17">
        <v>18.75</v>
      </c>
      <c r="T120" s="17">
        <v>75</v>
      </c>
      <c r="U120" s="17">
        <v>15</v>
      </c>
      <c r="V120" s="17">
        <v>5</v>
      </c>
      <c r="W120" s="17">
        <v>1.5</v>
      </c>
      <c r="X120" s="17">
        <v>3.75</v>
      </c>
      <c r="Y120" s="113">
        <v>0.3</v>
      </c>
      <c r="Z120" s="127">
        <f t="shared" si="647"/>
        <v>6.15</v>
      </c>
      <c r="AA120" s="127">
        <f t="shared" si="674"/>
        <v>8.68</v>
      </c>
      <c r="AB120" s="127">
        <f t="shared" si="648"/>
        <v>23.82</v>
      </c>
      <c r="AC120" s="127">
        <f t="shared" si="649"/>
        <v>6.85</v>
      </c>
      <c r="AD120" s="127">
        <f t="shared" si="650"/>
        <v>3.2</v>
      </c>
      <c r="AE120" s="127">
        <f t="shared" si="651"/>
        <v>0.69</v>
      </c>
      <c r="AF120" s="127">
        <v>0</v>
      </c>
      <c r="AG120" s="127">
        <v>0</v>
      </c>
      <c r="AH120" s="127">
        <f t="shared" si="652"/>
        <v>24.5</v>
      </c>
      <c r="AI120" s="127">
        <f>ROUND(D120*11%,2)-0.16</f>
        <v>13.59</v>
      </c>
      <c r="AJ120" s="127">
        <f t="shared" si="654"/>
        <v>51</v>
      </c>
      <c r="AK120" s="127">
        <f t="shared" si="655"/>
        <v>11</v>
      </c>
      <c r="AL120" s="127">
        <f t="shared" si="656"/>
        <v>1.8</v>
      </c>
      <c r="AM120" s="127">
        <f t="shared" si="657"/>
        <v>1.1000000000000001</v>
      </c>
      <c r="AN120" s="127">
        <f t="shared" si="658"/>
        <v>10</v>
      </c>
      <c r="AO120" s="127">
        <f t="shared" si="667"/>
        <v>0.36</v>
      </c>
      <c r="AP120" s="127">
        <f t="shared" si="659"/>
        <v>87.5</v>
      </c>
      <c r="AQ120" s="127">
        <f t="shared" si="660"/>
        <v>35.19</v>
      </c>
      <c r="AR120" s="127">
        <f t="shared" si="661"/>
        <v>75</v>
      </c>
      <c r="AS120" s="127">
        <f t="shared" si="662"/>
        <v>28.15</v>
      </c>
      <c r="AT120" s="127">
        <f t="shared" si="663"/>
        <v>5</v>
      </c>
      <c r="AU120" s="127">
        <f>ROUND(J120*28.14%,2)+0.01</f>
        <v>2.82</v>
      </c>
      <c r="AV120" s="127">
        <f t="shared" si="665"/>
        <v>10</v>
      </c>
      <c r="AW120" s="127">
        <f t="shared" si="666"/>
        <v>0.56000000000000005</v>
      </c>
      <c r="AX120" s="127"/>
      <c r="AY120" s="127"/>
      <c r="AZ120" s="127">
        <f t="shared" si="501"/>
        <v>262.14999999999998</v>
      </c>
      <c r="BA120" s="127">
        <f t="shared" si="355"/>
        <v>76.210000000000008</v>
      </c>
      <c r="BB120" s="127">
        <f t="shared" si="531"/>
        <v>224.82</v>
      </c>
      <c r="BC120" s="127">
        <f t="shared" si="531"/>
        <v>61</v>
      </c>
      <c r="BD120" s="127">
        <f t="shared" si="531"/>
        <v>15</v>
      </c>
      <c r="BE120" s="127">
        <f t="shared" si="444"/>
        <v>6.1099999999999994</v>
      </c>
      <c r="BF120" s="127">
        <f t="shared" si="444"/>
        <v>23.75</v>
      </c>
      <c r="BG120" s="127">
        <f t="shared" si="444"/>
        <v>1.22</v>
      </c>
      <c r="BH120" s="2"/>
      <c r="BI120" s="2"/>
      <c r="BJ120" s="2"/>
      <c r="BK120" s="2"/>
      <c r="BL120" s="8" t="e">
        <f>ROUND(F120-#REF!,2)</f>
        <v>#REF!</v>
      </c>
      <c r="BM120" s="8" t="e">
        <f>ROUND(I120-#REF!,2)</f>
        <v>#REF!</v>
      </c>
    </row>
    <row r="121" spans="1:73" ht="20.100000000000001" customHeight="1" x14ac:dyDescent="0.3">
      <c r="A121" s="15">
        <v>22</v>
      </c>
      <c r="B121" s="16" t="s">
        <v>79</v>
      </c>
      <c r="C121" s="17">
        <v>325</v>
      </c>
      <c r="D121" s="17">
        <v>100</v>
      </c>
      <c r="E121" s="19" t="e">
        <f>C121+D121+#REF!+#REF!</f>
        <v>#REF!</v>
      </c>
      <c r="F121" s="17">
        <v>0</v>
      </c>
      <c r="G121" s="28">
        <v>0</v>
      </c>
      <c r="H121" s="19" t="e">
        <f>F121+G121+#REF!</f>
        <v>#REF!</v>
      </c>
      <c r="I121" s="17">
        <v>5</v>
      </c>
      <c r="J121" s="17">
        <v>3</v>
      </c>
      <c r="K121" s="19">
        <f t="shared" si="644"/>
        <v>8</v>
      </c>
      <c r="L121" s="28">
        <v>70</v>
      </c>
      <c r="M121" s="28">
        <v>5</v>
      </c>
      <c r="N121" s="19">
        <f t="shared" si="682"/>
        <v>75</v>
      </c>
      <c r="O121" s="19">
        <f t="shared" si="725"/>
        <v>400</v>
      </c>
      <c r="P121" s="20">
        <f t="shared" si="725"/>
        <v>108</v>
      </c>
      <c r="Q121" s="19">
        <f t="shared" si="640"/>
        <v>508</v>
      </c>
      <c r="R121" s="17">
        <v>108</v>
      </c>
      <c r="S121" s="17">
        <v>15</v>
      </c>
      <c r="T121" s="17">
        <v>0</v>
      </c>
      <c r="U121" s="17">
        <v>0</v>
      </c>
      <c r="V121" s="17">
        <v>1.25</v>
      </c>
      <c r="W121" s="17">
        <v>0.45</v>
      </c>
      <c r="X121" s="17">
        <v>3.75</v>
      </c>
      <c r="Y121" s="113">
        <v>0.75</v>
      </c>
      <c r="Z121" s="127">
        <f t="shared" si="647"/>
        <v>31.43</v>
      </c>
      <c r="AA121" s="127">
        <f t="shared" si="674"/>
        <v>6.94</v>
      </c>
      <c r="AB121" s="127">
        <f t="shared" si="648"/>
        <v>0</v>
      </c>
      <c r="AC121" s="127">
        <f t="shared" si="649"/>
        <v>0</v>
      </c>
      <c r="AD121" s="127">
        <f t="shared" si="650"/>
        <v>0.8</v>
      </c>
      <c r="AE121" s="127">
        <f t="shared" si="651"/>
        <v>0.21</v>
      </c>
      <c r="AF121" s="127">
        <v>0</v>
      </c>
      <c r="AG121" s="127">
        <v>0</v>
      </c>
      <c r="AH121" s="127">
        <f>ROUND(C121*7%,2)+0.5</f>
        <v>23.25</v>
      </c>
      <c r="AI121" s="127">
        <f t="shared" si="653"/>
        <v>11</v>
      </c>
      <c r="AJ121" s="127">
        <f t="shared" si="654"/>
        <v>0</v>
      </c>
      <c r="AK121" s="127">
        <f t="shared" si="655"/>
        <v>0</v>
      </c>
      <c r="AL121" s="127">
        <f t="shared" si="656"/>
        <v>0.45</v>
      </c>
      <c r="AM121" s="127">
        <f t="shared" si="657"/>
        <v>0.33</v>
      </c>
      <c r="AN121" s="127">
        <f t="shared" si="658"/>
        <v>17.5</v>
      </c>
      <c r="AO121" s="127">
        <f>ROUND(M121*18%,2)-0.01</f>
        <v>0.89</v>
      </c>
      <c r="AP121" s="127">
        <f t="shared" si="659"/>
        <v>81.25</v>
      </c>
      <c r="AQ121" s="127">
        <f t="shared" si="660"/>
        <v>28.15</v>
      </c>
      <c r="AR121" s="127">
        <f t="shared" si="661"/>
        <v>0</v>
      </c>
      <c r="AS121" s="127">
        <f t="shared" si="662"/>
        <v>0</v>
      </c>
      <c r="AT121" s="127">
        <f t="shared" si="663"/>
        <v>1.25</v>
      </c>
      <c r="AU121" s="127">
        <f t="shared" si="664"/>
        <v>0.84</v>
      </c>
      <c r="AV121" s="127">
        <f t="shared" si="665"/>
        <v>17.5</v>
      </c>
      <c r="AW121" s="127">
        <f t="shared" si="666"/>
        <v>1.41</v>
      </c>
      <c r="AX121" s="127"/>
      <c r="AY121" s="127"/>
      <c r="AZ121" s="127">
        <f t="shared" si="501"/>
        <v>243.93</v>
      </c>
      <c r="BA121" s="127">
        <f t="shared" ref="BA121:BA184" si="726">+AQ121+AI121+AA121+S121+AY121</f>
        <v>61.089999999999996</v>
      </c>
      <c r="BB121" s="127">
        <f t="shared" si="531"/>
        <v>0</v>
      </c>
      <c r="BC121" s="127">
        <f t="shared" si="531"/>
        <v>0</v>
      </c>
      <c r="BD121" s="127">
        <f t="shared" si="531"/>
        <v>3.75</v>
      </c>
      <c r="BE121" s="127">
        <f t="shared" si="444"/>
        <v>1.8299999999999998</v>
      </c>
      <c r="BF121" s="127">
        <f t="shared" si="444"/>
        <v>38.75</v>
      </c>
      <c r="BG121" s="127">
        <f t="shared" si="444"/>
        <v>3.05</v>
      </c>
      <c r="BH121" s="2"/>
      <c r="BI121" s="2"/>
      <c r="BJ121" s="2"/>
      <c r="BK121" s="2"/>
      <c r="BL121" s="8" t="e">
        <f>ROUND(F121-#REF!,2)</f>
        <v>#REF!</v>
      </c>
      <c r="BM121" s="8" t="e">
        <f>ROUND(I121-#REF!,2)</f>
        <v>#REF!</v>
      </c>
    </row>
    <row r="122" spans="1:73" ht="20.100000000000001" customHeight="1" x14ac:dyDescent="0.3">
      <c r="A122" s="15">
        <v>23</v>
      </c>
      <c r="B122" s="16" t="s">
        <v>80</v>
      </c>
      <c r="C122" s="17">
        <v>290</v>
      </c>
      <c r="D122" s="17">
        <v>100</v>
      </c>
      <c r="E122" s="19" t="e">
        <f>C122+D122+#REF!+#REF!</f>
        <v>#REF!</v>
      </c>
      <c r="F122" s="17">
        <v>0</v>
      </c>
      <c r="G122" s="28">
        <v>10</v>
      </c>
      <c r="H122" s="19" t="e">
        <f>F122+G122+#REF!</f>
        <v>#REF!</v>
      </c>
      <c r="I122" s="17">
        <v>10</v>
      </c>
      <c r="J122" s="17">
        <v>0</v>
      </c>
      <c r="K122" s="19">
        <f t="shared" si="644"/>
        <v>10</v>
      </c>
      <c r="L122" s="28">
        <v>25</v>
      </c>
      <c r="M122" s="28">
        <v>0</v>
      </c>
      <c r="N122" s="19">
        <f t="shared" si="682"/>
        <v>25</v>
      </c>
      <c r="O122" s="19">
        <f t="shared" si="725"/>
        <v>325</v>
      </c>
      <c r="P122" s="20">
        <f t="shared" si="725"/>
        <v>110</v>
      </c>
      <c r="Q122" s="19">
        <f t="shared" si="640"/>
        <v>435</v>
      </c>
      <c r="R122" s="17">
        <v>60</v>
      </c>
      <c r="S122" s="17">
        <v>15</v>
      </c>
      <c r="T122" s="17">
        <v>0</v>
      </c>
      <c r="U122" s="17">
        <v>1.5</v>
      </c>
      <c r="V122" s="17">
        <v>2.5</v>
      </c>
      <c r="W122" s="17">
        <v>0</v>
      </c>
      <c r="X122" s="17">
        <v>3.75</v>
      </c>
      <c r="Y122" s="113">
        <v>0</v>
      </c>
      <c r="Z122" s="127">
        <f>ROUND(C122*42.9%-R122,2)+0.04</f>
        <v>64.45</v>
      </c>
      <c r="AA122" s="127">
        <f t="shared" si="674"/>
        <v>6.94</v>
      </c>
      <c r="AB122" s="127">
        <f t="shared" si="648"/>
        <v>0</v>
      </c>
      <c r="AC122" s="127">
        <f t="shared" si="649"/>
        <v>0.69</v>
      </c>
      <c r="AD122" s="127">
        <f t="shared" si="650"/>
        <v>1.6</v>
      </c>
      <c r="AE122" s="127">
        <f t="shared" si="651"/>
        <v>0</v>
      </c>
      <c r="AF122" s="127">
        <v>0</v>
      </c>
      <c r="AG122" s="127">
        <v>0</v>
      </c>
      <c r="AH122" s="127">
        <f t="shared" si="652"/>
        <v>20.3</v>
      </c>
      <c r="AI122" s="127">
        <f t="shared" si="653"/>
        <v>11</v>
      </c>
      <c r="AJ122" s="127">
        <f t="shared" si="654"/>
        <v>0</v>
      </c>
      <c r="AK122" s="127">
        <f t="shared" si="655"/>
        <v>1.1000000000000001</v>
      </c>
      <c r="AL122" s="127">
        <f t="shared" si="656"/>
        <v>0.9</v>
      </c>
      <c r="AM122" s="127">
        <f t="shared" si="657"/>
        <v>0</v>
      </c>
      <c r="AN122" s="127">
        <f t="shared" si="658"/>
        <v>6.25</v>
      </c>
      <c r="AO122" s="127">
        <f t="shared" si="667"/>
        <v>0</v>
      </c>
      <c r="AP122" s="127">
        <f t="shared" si="659"/>
        <v>72.5</v>
      </c>
      <c r="AQ122" s="127">
        <f t="shared" si="660"/>
        <v>28.15</v>
      </c>
      <c r="AR122" s="127">
        <f t="shared" si="661"/>
        <v>0</v>
      </c>
      <c r="AS122" s="127">
        <f t="shared" si="662"/>
        <v>2.82</v>
      </c>
      <c r="AT122" s="127">
        <f t="shared" si="663"/>
        <v>2.5</v>
      </c>
      <c r="AU122" s="127">
        <f t="shared" si="664"/>
        <v>0</v>
      </c>
      <c r="AV122" s="127">
        <f t="shared" si="665"/>
        <v>6.25</v>
      </c>
      <c r="AW122" s="127">
        <f t="shared" si="666"/>
        <v>0</v>
      </c>
      <c r="AX122" s="127"/>
      <c r="AY122" s="127"/>
      <c r="AZ122" s="127">
        <f t="shared" si="501"/>
        <v>217.25</v>
      </c>
      <c r="BA122" s="127">
        <f t="shared" si="726"/>
        <v>61.089999999999996</v>
      </c>
      <c r="BB122" s="127">
        <f t="shared" si="531"/>
        <v>0</v>
      </c>
      <c r="BC122" s="127">
        <f t="shared" si="531"/>
        <v>6.1099999999999994</v>
      </c>
      <c r="BD122" s="127">
        <f t="shared" si="531"/>
        <v>7.5</v>
      </c>
      <c r="BE122" s="127">
        <f t="shared" si="444"/>
        <v>0</v>
      </c>
      <c r="BF122" s="127">
        <f t="shared" si="444"/>
        <v>16.25</v>
      </c>
      <c r="BG122" s="127">
        <f t="shared" si="444"/>
        <v>0</v>
      </c>
      <c r="BH122" s="2"/>
      <c r="BI122" s="2"/>
      <c r="BJ122" s="2"/>
      <c r="BK122" s="2"/>
      <c r="BL122" s="8" t="e">
        <f>ROUND(F122-#REF!,2)</f>
        <v>#REF!</v>
      </c>
      <c r="BM122" s="8" t="e">
        <f>ROUND(I122-#REF!,2)</f>
        <v>#REF!</v>
      </c>
    </row>
    <row r="123" spans="1:73" ht="20.100000000000001" customHeight="1" x14ac:dyDescent="0.3">
      <c r="A123" s="15">
        <v>24</v>
      </c>
      <c r="B123" s="16" t="s">
        <v>81</v>
      </c>
      <c r="C123" s="17">
        <v>150</v>
      </c>
      <c r="D123" s="17">
        <v>0</v>
      </c>
      <c r="E123" s="19" t="e">
        <f>C123+D123+#REF!+#REF!</f>
        <v>#REF!</v>
      </c>
      <c r="F123" s="17">
        <v>60</v>
      </c>
      <c r="G123" s="28">
        <v>10</v>
      </c>
      <c r="H123" s="19" t="e">
        <f>F123+G123+#REF!</f>
        <v>#REF!</v>
      </c>
      <c r="I123" s="17">
        <v>10</v>
      </c>
      <c r="J123" s="17">
        <v>0</v>
      </c>
      <c r="K123" s="19">
        <f t="shared" si="644"/>
        <v>10</v>
      </c>
      <c r="L123" s="28">
        <v>20</v>
      </c>
      <c r="M123" s="28">
        <v>0</v>
      </c>
      <c r="N123" s="19">
        <f t="shared" si="682"/>
        <v>20</v>
      </c>
      <c r="O123" s="19">
        <f t="shared" si="725"/>
        <v>240</v>
      </c>
      <c r="P123" s="20">
        <f t="shared" si="725"/>
        <v>10</v>
      </c>
      <c r="Q123" s="19">
        <f t="shared" si="640"/>
        <v>250</v>
      </c>
      <c r="R123" s="17">
        <v>21.6</v>
      </c>
      <c r="S123" s="17">
        <v>0</v>
      </c>
      <c r="T123" s="17">
        <v>15</v>
      </c>
      <c r="U123" s="17">
        <v>1.5</v>
      </c>
      <c r="V123" s="17">
        <v>2.5</v>
      </c>
      <c r="W123" s="17">
        <v>0</v>
      </c>
      <c r="X123" s="17">
        <v>5</v>
      </c>
      <c r="Y123" s="113">
        <v>0</v>
      </c>
      <c r="Z123" s="127">
        <f t="shared" si="647"/>
        <v>42.75</v>
      </c>
      <c r="AA123" s="127">
        <f>ROUND(D123*21.96%-S123,2)</f>
        <v>0</v>
      </c>
      <c r="AB123" s="127">
        <f t="shared" si="648"/>
        <v>4.76</v>
      </c>
      <c r="AC123" s="127">
        <f t="shared" si="649"/>
        <v>0.69</v>
      </c>
      <c r="AD123" s="127">
        <f t="shared" si="650"/>
        <v>1.6</v>
      </c>
      <c r="AE123" s="127">
        <f t="shared" si="651"/>
        <v>0</v>
      </c>
      <c r="AF123" s="127">
        <v>0</v>
      </c>
      <c r="AG123" s="127">
        <v>0</v>
      </c>
      <c r="AH123" s="127">
        <f t="shared" si="652"/>
        <v>10.5</v>
      </c>
      <c r="AI123" s="127">
        <f t="shared" si="653"/>
        <v>0</v>
      </c>
      <c r="AJ123" s="127">
        <f t="shared" si="654"/>
        <v>10.199999999999999</v>
      </c>
      <c r="AK123" s="127">
        <f t="shared" si="655"/>
        <v>1.1000000000000001</v>
      </c>
      <c r="AL123" s="127">
        <f t="shared" si="656"/>
        <v>0.9</v>
      </c>
      <c r="AM123" s="127">
        <f t="shared" si="657"/>
        <v>0</v>
      </c>
      <c r="AN123" s="127">
        <f t="shared" si="658"/>
        <v>5</v>
      </c>
      <c r="AO123" s="127">
        <f t="shared" si="667"/>
        <v>0</v>
      </c>
      <c r="AP123" s="127">
        <f t="shared" si="659"/>
        <v>37.5</v>
      </c>
      <c r="AQ123" s="127">
        <f t="shared" si="660"/>
        <v>0</v>
      </c>
      <c r="AR123" s="127">
        <f t="shared" si="661"/>
        <v>15</v>
      </c>
      <c r="AS123" s="127">
        <f t="shared" si="662"/>
        <v>2.82</v>
      </c>
      <c r="AT123" s="127">
        <f t="shared" si="663"/>
        <v>2.5</v>
      </c>
      <c r="AU123" s="127">
        <f t="shared" si="664"/>
        <v>0</v>
      </c>
      <c r="AV123" s="127">
        <f t="shared" si="665"/>
        <v>5</v>
      </c>
      <c r="AW123" s="127">
        <f t="shared" si="666"/>
        <v>0</v>
      </c>
      <c r="AX123" s="127"/>
      <c r="AY123" s="127"/>
      <c r="AZ123" s="127">
        <f t="shared" si="501"/>
        <v>112.35</v>
      </c>
      <c r="BA123" s="127">
        <f t="shared" si="726"/>
        <v>0</v>
      </c>
      <c r="BB123" s="127">
        <f t="shared" si="531"/>
        <v>44.96</v>
      </c>
      <c r="BC123" s="127">
        <f t="shared" si="531"/>
        <v>6.1099999999999994</v>
      </c>
      <c r="BD123" s="127">
        <f t="shared" si="531"/>
        <v>7.5</v>
      </c>
      <c r="BE123" s="127">
        <f t="shared" si="444"/>
        <v>0</v>
      </c>
      <c r="BF123" s="127">
        <f t="shared" si="444"/>
        <v>15</v>
      </c>
      <c r="BG123" s="127">
        <f t="shared" si="444"/>
        <v>0</v>
      </c>
      <c r="BH123" s="2"/>
      <c r="BI123" s="2"/>
      <c r="BJ123" s="2"/>
      <c r="BK123" s="2"/>
      <c r="BL123" s="8" t="e">
        <f>ROUND(F123-#REF!,2)</f>
        <v>#REF!</v>
      </c>
      <c r="BM123" s="8" t="e">
        <f>ROUND(I123-#REF!,2)</f>
        <v>#REF!</v>
      </c>
    </row>
    <row r="124" spans="1:73" s="6" customFormat="1" ht="20.100000000000001" customHeight="1" x14ac:dyDescent="0.3">
      <c r="A124" s="76"/>
      <c r="B124" s="77" t="s">
        <v>80</v>
      </c>
      <c r="C124" s="78">
        <f>+C122+C123</f>
        <v>440</v>
      </c>
      <c r="D124" s="78">
        <f t="shared" ref="D124:E124" si="727">+D122+D123</f>
        <v>100</v>
      </c>
      <c r="E124" s="78" t="e">
        <f t="shared" si="727"/>
        <v>#REF!</v>
      </c>
      <c r="F124" s="78">
        <f>+F122+F123</f>
        <v>60</v>
      </c>
      <c r="G124" s="78">
        <f t="shared" ref="G124" si="728">+G122+G123</f>
        <v>20</v>
      </c>
      <c r="H124" s="78" t="e">
        <f t="shared" ref="H124:I124" si="729">+H122+H123</f>
        <v>#REF!</v>
      </c>
      <c r="I124" s="78">
        <f t="shared" si="729"/>
        <v>20</v>
      </c>
      <c r="J124" s="78">
        <f t="shared" ref="J124" si="730">+J122+J123</f>
        <v>0</v>
      </c>
      <c r="K124" s="78">
        <f t="shared" ref="K124:L124" si="731">+K122+K123</f>
        <v>20</v>
      </c>
      <c r="L124" s="78">
        <f t="shared" si="731"/>
        <v>45</v>
      </c>
      <c r="M124" s="78">
        <f t="shared" ref="M124:BG124" si="732">+M122+M123</f>
        <v>0</v>
      </c>
      <c r="N124" s="78">
        <f t="shared" si="732"/>
        <v>45</v>
      </c>
      <c r="O124" s="78">
        <f t="shared" si="732"/>
        <v>565</v>
      </c>
      <c r="P124" s="78">
        <f t="shared" si="732"/>
        <v>120</v>
      </c>
      <c r="Q124" s="78">
        <f t="shared" si="732"/>
        <v>685</v>
      </c>
      <c r="R124" s="78">
        <f t="shared" si="732"/>
        <v>81.599999999999994</v>
      </c>
      <c r="S124" s="78">
        <f t="shared" si="732"/>
        <v>15</v>
      </c>
      <c r="T124" s="78">
        <f t="shared" si="732"/>
        <v>15</v>
      </c>
      <c r="U124" s="78">
        <f t="shared" si="732"/>
        <v>3</v>
      </c>
      <c r="V124" s="78">
        <f t="shared" si="732"/>
        <v>5</v>
      </c>
      <c r="W124" s="78">
        <f t="shared" si="732"/>
        <v>0</v>
      </c>
      <c r="X124" s="78">
        <f t="shared" si="732"/>
        <v>8.75</v>
      </c>
      <c r="Y124" s="114">
        <f t="shared" si="732"/>
        <v>0</v>
      </c>
      <c r="Z124" s="78">
        <f t="shared" si="732"/>
        <v>107.2</v>
      </c>
      <c r="AA124" s="78">
        <f t="shared" si="732"/>
        <v>6.94</v>
      </c>
      <c r="AB124" s="78">
        <f t="shared" si="732"/>
        <v>4.76</v>
      </c>
      <c r="AC124" s="78">
        <f t="shared" si="732"/>
        <v>1.38</v>
      </c>
      <c r="AD124" s="78">
        <f t="shared" si="732"/>
        <v>3.2</v>
      </c>
      <c r="AE124" s="78">
        <f t="shared" si="732"/>
        <v>0</v>
      </c>
      <c r="AF124" s="78">
        <f t="shared" si="732"/>
        <v>0</v>
      </c>
      <c r="AG124" s="78">
        <f t="shared" si="732"/>
        <v>0</v>
      </c>
      <c r="AH124" s="78">
        <f t="shared" si="732"/>
        <v>30.8</v>
      </c>
      <c r="AI124" s="78">
        <f t="shared" si="732"/>
        <v>11</v>
      </c>
      <c r="AJ124" s="78">
        <f t="shared" si="732"/>
        <v>10.199999999999999</v>
      </c>
      <c r="AK124" s="78">
        <f t="shared" si="732"/>
        <v>2.2000000000000002</v>
      </c>
      <c r="AL124" s="78">
        <f t="shared" si="732"/>
        <v>1.8</v>
      </c>
      <c r="AM124" s="78">
        <f t="shared" si="732"/>
        <v>0</v>
      </c>
      <c r="AN124" s="78">
        <f t="shared" si="732"/>
        <v>11.25</v>
      </c>
      <c r="AO124" s="78">
        <f t="shared" si="732"/>
        <v>0</v>
      </c>
      <c r="AP124" s="78">
        <f t="shared" si="732"/>
        <v>110</v>
      </c>
      <c r="AQ124" s="78">
        <f t="shared" si="732"/>
        <v>28.15</v>
      </c>
      <c r="AR124" s="78">
        <f t="shared" si="732"/>
        <v>15</v>
      </c>
      <c r="AS124" s="78">
        <f t="shared" si="732"/>
        <v>5.64</v>
      </c>
      <c r="AT124" s="78">
        <f t="shared" si="732"/>
        <v>5</v>
      </c>
      <c r="AU124" s="78">
        <f t="shared" si="732"/>
        <v>0</v>
      </c>
      <c r="AV124" s="78">
        <f t="shared" si="732"/>
        <v>11.25</v>
      </c>
      <c r="AW124" s="78">
        <f t="shared" si="732"/>
        <v>0</v>
      </c>
      <c r="AX124" s="78">
        <f t="shared" si="732"/>
        <v>0</v>
      </c>
      <c r="AY124" s="78">
        <f t="shared" si="732"/>
        <v>0</v>
      </c>
      <c r="AZ124" s="78">
        <f t="shared" si="732"/>
        <v>329.6</v>
      </c>
      <c r="BA124" s="78">
        <f t="shared" si="732"/>
        <v>61.089999999999996</v>
      </c>
      <c r="BB124" s="78">
        <f t="shared" si="732"/>
        <v>44.96</v>
      </c>
      <c r="BC124" s="78">
        <f t="shared" si="732"/>
        <v>12.219999999999999</v>
      </c>
      <c r="BD124" s="78">
        <f t="shared" si="732"/>
        <v>15</v>
      </c>
      <c r="BE124" s="78">
        <f t="shared" si="732"/>
        <v>0</v>
      </c>
      <c r="BF124" s="78">
        <f t="shared" si="732"/>
        <v>31.25</v>
      </c>
      <c r="BG124" s="78">
        <f t="shared" si="732"/>
        <v>0</v>
      </c>
      <c r="BH124" s="84"/>
      <c r="BI124" s="84"/>
      <c r="BJ124" s="84"/>
      <c r="BK124" s="84"/>
      <c r="BL124" s="78" t="e">
        <f t="shared" ref="BL124:BT124" si="733">+BL122+BL123</f>
        <v>#REF!</v>
      </c>
      <c r="BM124" s="78" t="e">
        <f t="shared" si="733"/>
        <v>#REF!</v>
      </c>
      <c r="BN124" s="78">
        <f t="shared" si="733"/>
        <v>0</v>
      </c>
      <c r="BO124" s="78">
        <f t="shared" si="733"/>
        <v>0</v>
      </c>
      <c r="BP124" s="78">
        <f t="shared" si="733"/>
        <v>0</v>
      </c>
      <c r="BQ124" s="78">
        <f t="shared" si="733"/>
        <v>0</v>
      </c>
      <c r="BR124" s="78">
        <f t="shared" si="733"/>
        <v>0</v>
      </c>
      <c r="BS124" s="78">
        <f t="shared" si="733"/>
        <v>0</v>
      </c>
      <c r="BT124" s="78">
        <f t="shared" si="733"/>
        <v>0</v>
      </c>
    </row>
    <row r="125" spans="1:73" ht="20.100000000000001" customHeight="1" x14ac:dyDescent="0.3">
      <c r="A125" s="15">
        <v>25</v>
      </c>
      <c r="B125" s="16" t="s">
        <v>82</v>
      </c>
      <c r="C125" s="17">
        <v>350</v>
      </c>
      <c r="D125" s="17">
        <v>150</v>
      </c>
      <c r="E125" s="19" t="e">
        <f>C125+D125+#REF!+#REF!</f>
        <v>#REF!</v>
      </c>
      <c r="F125" s="17">
        <v>50</v>
      </c>
      <c r="G125" s="28">
        <v>0</v>
      </c>
      <c r="H125" s="19" t="e">
        <f>F125+G125+#REF!</f>
        <v>#REF!</v>
      </c>
      <c r="I125" s="17">
        <v>10</v>
      </c>
      <c r="J125" s="17">
        <v>0</v>
      </c>
      <c r="K125" s="19">
        <f t="shared" si="644"/>
        <v>10</v>
      </c>
      <c r="L125" s="28">
        <v>35</v>
      </c>
      <c r="M125" s="28">
        <v>0</v>
      </c>
      <c r="N125" s="19">
        <f t="shared" si="682"/>
        <v>35</v>
      </c>
      <c r="O125" s="19">
        <f>C125+F125+I125+L125</f>
        <v>445</v>
      </c>
      <c r="P125" s="20">
        <f>D125+G125+J125+M125</f>
        <v>150</v>
      </c>
      <c r="Q125" s="19">
        <f t="shared" si="640"/>
        <v>595</v>
      </c>
      <c r="R125" s="17">
        <v>72</v>
      </c>
      <c r="S125" s="17">
        <v>22.5</v>
      </c>
      <c r="T125" s="17">
        <v>12.5</v>
      </c>
      <c r="U125" s="17">
        <v>0</v>
      </c>
      <c r="V125" s="17">
        <v>1.25</v>
      </c>
      <c r="W125" s="17">
        <v>0</v>
      </c>
      <c r="X125" s="17">
        <v>2.5</v>
      </c>
      <c r="Y125" s="113">
        <v>0</v>
      </c>
      <c r="Z125" s="127">
        <f t="shared" si="647"/>
        <v>78.150000000000006</v>
      </c>
      <c r="AA125" s="127">
        <f t="shared" si="674"/>
        <v>10.42</v>
      </c>
      <c r="AB125" s="127">
        <f t="shared" si="648"/>
        <v>3.97</v>
      </c>
      <c r="AC125" s="127">
        <f t="shared" si="649"/>
        <v>0</v>
      </c>
      <c r="AD125" s="127">
        <f t="shared" si="650"/>
        <v>2.85</v>
      </c>
      <c r="AE125" s="127">
        <f t="shared" si="651"/>
        <v>0</v>
      </c>
      <c r="AF125" s="127">
        <v>0</v>
      </c>
      <c r="AG125" s="127">
        <v>0</v>
      </c>
      <c r="AH125" s="127">
        <f t="shared" si="652"/>
        <v>24.5</v>
      </c>
      <c r="AI125" s="127">
        <f t="shared" si="653"/>
        <v>16.5</v>
      </c>
      <c r="AJ125" s="127">
        <f t="shared" si="654"/>
        <v>8.5</v>
      </c>
      <c r="AK125" s="127">
        <f t="shared" si="655"/>
        <v>0</v>
      </c>
      <c r="AL125" s="127">
        <f t="shared" si="656"/>
        <v>0.9</v>
      </c>
      <c r="AM125" s="127">
        <f t="shared" si="657"/>
        <v>0</v>
      </c>
      <c r="AN125" s="127">
        <f t="shared" si="658"/>
        <v>8.75</v>
      </c>
      <c r="AO125" s="127">
        <f t="shared" si="667"/>
        <v>0</v>
      </c>
      <c r="AP125" s="127">
        <f t="shared" si="659"/>
        <v>87.5</v>
      </c>
      <c r="AQ125" s="127">
        <f t="shared" si="660"/>
        <v>42.23</v>
      </c>
      <c r="AR125" s="127">
        <f t="shared" si="661"/>
        <v>12.5</v>
      </c>
      <c r="AS125" s="127">
        <f t="shared" si="662"/>
        <v>0</v>
      </c>
      <c r="AT125" s="127">
        <f t="shared" si="663"/>
        <v>2.5</v>
      </c>
      <c r="AU125" s="127">
        <f t="shared" si="664"/>
        <v>0</v>
      </c>
      <c r="AV125" s="127">
        <f t="shared" si="665"/>
        <v>8.75</v>
      </c>
      <c r="AW125" s="127">
        <f t="shared" si="666"/>
        <v>0</v>
      </c>
      <c r="AX125" s="127"/>
      <c r="AY125" s="127"/>
      <c r="AZ125" s="127">
        <f t="shared" si="501"/>
        <v>262.14999999999998</v>
      </c>
      <c r="BA125" s="127">
        <f t="shared" si="726"/>
        <v>91.649999999999991</v>
      </c>
      <c r="BB125" s="127">
        <f t="shared" si="531"/>
        <v>37.47</v>
      </c>
      <c r="BC125" s="127">
        <f t="shared" si="531"/>
        <v>0</v>
      </c>
      <c r="BD125" s="127">
        <f t="shared" si="531"/>
        <v>7.5</v>
      </c>
      <c r="BE125" s="127">
        <f t="shared" si="444"/>
        <v>0</v>
      </c>
      <c r="BF125" s="127">
        <f t="shared" si="444"/>
        <v>20</v>
      </c>
      <c r="BG125" s="127">
        <f t="shared" si="444"/>
        <v>0</v>
      </c>
      <c r="BH125" s="2"/>
      <c r="BI125" s="2"/>
      <c r="BJ125" s="2"/>
      <c r="BK125" s="2"/>
      <c r="BL125" s="8" t="e">
        <f>ROUND(F125-#REF!,2)</f>
        <v>#REF!</v>
      </c>
      <c r="BM125" s="8" t="e">
        <f>ROUND(I125-#REF!,2)</f>
        <v>#REF!</v>
      </c>
    </row>
    <row r="126" spans="1:73" ht="20.100000000000001" customHeight="1" x14ac:dyDescent="0.3">
      <c r="A126" s="15">
        <v>26</v>
      </c>
      <c r="B126" s="16" t="s">
        <v>83</v>
      </c>
      <c r="C126" s="17">
        <v>265</v>
      </c>
      <c r="D126" s="17">
        <v>10</v>
      </c>
      <c r="E126" s="19" t="e">
        <f>C126+D126+#REF!+#REF!</f>
        <v>#REF!</v>
      </c>
      <c r="F126" s="17">
        <v>100</v>
      </c>
      <c r="G126" s="28">
        <v>50</v>
      </c>
      <c r="H126" s="19" t="e">
        <f>F126+G126+#REF!</f>
        <v>#REF!</v>
      </c>
      <c r="I126" s="17">
        <v>10</v>
      </c>
      <c r="J126" s="17">
        <v>0</v>
      </c>
      <c r="K126" s="19">
        <f t="shared" si="644"/>
        <v>10</v>
      </c>
      <c r="L126" s="28">
        <v>15</v>
      </c>
      <c r="M126" s="28">
        <v>0</v>
      </c>
      <c r="N126" s="19">
        <f t="shared" si="682"/>
        <v>15</v>
      </c>
      <c r="O126" s="19">
        <f>C126+F126+I126+L126</f>
        <v>390</v>
      </c>
      <c r="P126" s="20">
        <f>D126+G126+J126+M126</f>
        <v>60</v>
      </c>
      <c r="Q126" s="19">
        <f t="shared" si="640"/>
        <v>450</v>
      </c>
      <c r="R126" s="17">
        <v>16.8</v>
      </c>
      <c r="S126" s="17">
        <v>1.5</v>
      </c>
      <c r="T126" s="17">
        <v>25</v>
      </c>
      <c r="U126" s="17">
        <v>7.5</v>
      </c>
      <c r="V126" s="17">
        <v>2.5</v>
      </c>
      <c r="W126" s="17">
        <v>0</v>
      </c>
      <c r="X126" s="17">
        <v>2.5</v>
      </c>
      <c r="Y126" s="113">
        <v>0</v>
      </c>
      <c r="Z126" s="127">
        <f>ROUND(C126*42.9%-R126,2)+0.05</f>
        <v>96.94</v>
      </c>
      <c r="AA126" s="127">
        <f t="shared" si="674"/>
        <v>0.67999999999999994</v>
      </c>
      <c r="AB126" s="127">
        <f t="shared" si="648"/>
        <v>7.94</v>
      </c>
      <c r="AC126" s="127">
        <f t="shared" si="649"/>
        <v>3.43</v>
      </c>
      <c r="AD126" s="127">
        <f t="shared" si="650"/>
        <v>1.6</v>
      </c>
      <c r="AE126" s="127">
        <f t="shared" si="651"/>
        <v>0</v>
      </c>
      <c r="AF126" s="127">
        <v>0</v>
      </c>
      <c r="AG126" s="127">
        <v>0</v>
      </c>
      <c r="AH126" s="127">
        <f t="shared" si="652"/>
        <v>18.55</v>
      </c>
      <c r="AI126" s="127">
        <f t="shared" si="653"/>
        <v>1.1000000000000001</v>
      </c>
      <c r="AJ126" s="127">
        <f t="shared" si="654"/>
        <v>17</v>
      </c>
      <c r="AK126" s="127">
        <f t="shared" si="655"/>
        <v>5.5</v>
      </c>
      <c r="AL126" s="127">
        <f t="shared" si="656"/>
        <v>0.9</v>
      </c>
      <c r="AM126" s="127">
        <f t="shared" si="657"/>
        <v>0</v>
      </c>
      <c r="AN126" s="127">
        <f t="shared" si="658"/>
        <v>3.75</v>
      </c>
      <c r="AO126" s="127">
        <f t="shared" si="667"/>
        <v>0</v>
      </c>
      <c r="AP126" s="127">
        <f t="shared" si="659"/>
        <v>66.25</v>
      </c>
      <c r="AQ126" s="127">
        <f t="shared" si="660"/>
        <v>2.82</v>
      </c>
      <c r="AR126" s="127">
        <f t="shared" si="661"/>
        <v>25</v>
      </c>
      <c r="AS126" s="127">
        <f t="shared" si="662"/>
        <v>14.08</v>
      </c>
      <c r="AT126" s="127">
        <f t="shared" si="663"/>
        <v>2.5</v>
      </c>
      <c r="AU126" s="127">
        <f t="shared" si="664"/>
        <v>0</v>
      </c>
      <c r="AV126" s="127">
        <f t="shared" si="665"/>
        <v>3.75</v>
      </c>
      <c r="AW126" s="127">
        <f t="shared" si="666"/>
        <v>0</v>
      </c>
      <c r="AX126" s="127"/>
      <c r="AY126" s="127"/>
      <c r="AZ126" s="127">
        <f t="shared" si="501"/>
        <v>198.54000000000002</v>
      </c>
      <c r="BA126" s="127">
        <f t="shared" si="726"/>
        <v>6.1</v>
      </c>
      <c r="BB126" s="127">
        <f t="shared" si="531"/>
        <v>74.94</v>
      </c>
      <c r="BC126" s="127">
        <f t="shared" si="531"/>
        <v>30.509999999999998</v>
      </c>
      <c r="BD126" s="127">
        <f t="shared" si="531"/>
        <v>7.5</v>
      </c>
      <c r="BE126" s="127">
        <f t="shared" si="444"/>
        <v>0</v>
      </c>
      <c r="BF126" s="127">
        <f t="shared" si="444"/>
        <v>10</v>
      </c>
      <c r="BG126" s="127">
        <f t="shared" si="444"/>
        <v>0</v>
      </c>
      <c r="BH126" s="2"/>
      <c r="BI126" s="2"/>
      <c r="BJ126" s="2"/>
      <c r="BK126" s="2"/>
      <c r="BL126" s="8" t="e">
        <f>ROUND(F126-#REF!,2)</f>
        <v>#REF!</v>
      </c>
      <c r="BM126" s="8" t="e">
        <f>ROUND(I126-#REF!,2)</f>
        <v>#REF!</v>
      </c>
    </row>
    <row r="127" spans="1:73" s="6" customFormat="1" ht="20.100000000000001" customHeight="1" x14ac:dyDescent="0.3">
      <c r="A127" s="76"/>
      <c r="B127" s="77" t="s">
        <v>82</v>
      </c>
      <c r="C127" s="78">
        <f>+C125+C126</f>
        <v>615</v>
      </c>
      <c r="D127" s="78">
        <f t="shared" ref="D127:H127" si="734">+D125+D126</f>
        <v>160</v>
      </c>
      <c r="E127" s="78" t="e">
        <f t="shared" si="734"/>
        <v>#REF!</v>
      </c>
      <c r="F127" s="78">
        <f t="shared" si="734"/>
        <v>150</v>
      </c>
      <c r="G127" s="78">
        <f t="shared" si="734"/>
        <v>50</v>
      </c>
      <c r="H127" s="78" t="e">
        <f t="shared" si="734"/>
        <v>#REF!</v>
      </c>
      <c r="I127" s="78">
        <f>+I125+I126</f>
        <v>20</v>
      </c>
      <c r="J127" s="78">
        <f t="shared" ref="J127" si="735">+J125+J126</f>
        <v>0</v>
      </c>
      <c r="K127" s="78">
        <f t="shared" ref="K127" si="736">+K125+K126</f>
        <v>20</v>
      </c>
      <c r="L127" s="78">
        <f t="shared" ref="L127" si="737">+L125+L126</f>
        <v>50</v>
      </c>
      <c r="M127" s="78">
        <f t="shared" ref="M127:BG127" si="738">+M125+M126</f>
        <v>0</v>
      </c>
      <c r="N127" s="78">
        <f t="shared" si="738"/>
        <v>50</v>
      </c>
      <c r="O127" s="78">
        <f t="shared" si="738"/>
        <v>835</v>
      </c>
      <c r="P127" s="78">
        <f t="shared" si="738"/>
        <v>210</v>
      </c>
      <c r="Q127" s="78">
        <f t="shared" si="738"/>
        <v>1045</v>
      </c>
      <c r="R127" s="78">
        <f t="shared" si="738"/>
        <v>88.8</v>
      </c>
      <c r="S127" s="78">
        <f t="shared" si="738"/>
        <v>24</v>
      </c>
      <c r="T127" s="78">
        <f t="shared" si="738"/>
        <v>37.5</v>
      </c>
      <c r="U127" s="78">
        <f t="shared" si="738"/>
        <v>7.5</v>
      </c>
      <c r="V127" s="78">
        <f t="shared" si="738"/>
        <v>3.75</v>
      </c>
      <c r="W127" s="78">
        <f t="shared" si="738"/>
        <v>0</v>
      </c>
      <c r="X127" s="78">
        <f t="shared" si="738"/>
        <v>5</v>
      </c>
      <c r="Y127" s="114">
        <f t="shared" si="738"/>
        <v>0</v>
      </c>
      <c r="Z127" s="78">
        <f t="shared" si="738"/>
        <v>175.09</v>
      </c>
      <c r="AA127" s="78">
        <f t="shared" si="738"/>
        <v>11.1</v>
      </c>
      <c r="AB127" s="78">
        <f t="shared" si="738"/>
        <v>11.91</v>
      </c>
      <c r="AC127" s="78">
        <f t="shared" si="738"/>
        <v>3.43</v>
      </c>
      <c r="AD127" s="78">
        <f t="shared" si="738"/>
        <v>4.45</v>
      </c>
      <c r="AE127" s="78">
        <f t="shared" si="738"/>
        <v>0</v>
      </c>
      <c r="AF127" s="78">
        <f t="shared" si="738"/>
        <v>0</v>
      </c>
      <c r="AG127" s="78">
        <f t="shared" si="738"/>
        <v>0</v>
      </c>
      <c r="AH127" s="78">
        <f t="shared" si="738"/>
        <v>43.05</v>
      </c>
      <c r="AI127" s="78">
        <f t="shared" si="738"/>
        <v>17.600000000000001</v>
      </c>
      <c r="AJ127" s="78">
        <f t="shared" si="738"/>
        <v>25.5</v>
      </c>
      <c r="AK127" s="78">
        <f t="shared" si="738"/>
        <v>5.5</v>
      </c>
      <c r="AL127" s="78">
        <f t="shared" si="738"/>
        <v>1.8</v>
      </c>
      <c r="AM127" s="78">
        <f t="shared" si="738"/>
        <v>0</v>
      </c>
      <c r="AN127" s="78">
        <f t="shared" si="738"/>
        <v>12.5</v>
      </c>
      <c r="AO127" s="78">
        <f t="shared" si="738"/>
        <v>0</v>
      </c>
      <c r="AP127" s="78">
        <f t="shared" si="738"/>
        <v>153.75</v>
      </c>
      <c r="AQ127" s="78">
        <f t="shared" si="738"/>
        <v>45.05</v>
      </c>
      <c r="AR127" s="78">
        <f t="shared" si="738"/>
        <v>37.5</v>
      </c>
      <c r="AS127" s="78">
        <f t="shared" si="738"/>
        <v>14.08</v>
      </c>
      <c r="AT127" s="78">
        <f t="shared" si="738"/>
        <v>5</v>
      </c>
      <c r="AU127" s="78">
        <f t="shared" si="738"/>
        <v>0</v>
      </c>
      <c r="AV127" s="78">
        <f t="shared" si="738"/>
        <v>12.5</v>
      </c>
      <c r="AW127" s="78">
        <f t="shared" si="738"/>
        <v>0</v>
      </c>
      <c r="AX127" s="78">
        <f t="shared" si="738"/>
        <v>0</v>
      </c>
      <c r="AY127" s="78">
        <f t="shared" si="738"/>
        <v>0</v>
      </c>
      <c r="AZ127" s="78">
        <f t="shared" si="738"/>
        <v>460.69</v>
      </c>
      <c r="BA127" s="78">
        <f t="shared" si="738"/>
        <v>97.749999999999986</v>
      </c>
      <c r="BB127" s="78">
        <f t="shared" si="738"/>
        <v>112.41</v>
      </c>
      <c r="BC127" s="78">
        <f t="shared" si="738"/>
        <v>30.509999999999998</v>
      </c>
      <c r="BD127" s="78">
        <f t="shared" si="738"/>
        <v>15</v>
      </c>
      <c r="BE127" s="78">
        <f t="shared" si="738"/>
        <v>0</v>
      </c>
      <c r="BF127" s="78">
        <f t="shared" si="738"/>
        <v>30</v>
      </c>
      <c r="BG127" s="78">
        <f t="shared" si="738"/>
        <v>0</v>
      </c>
      <c r="BH127" s="84"/>
      <c r="BI127" s="84"/>
      <c r="BJ127" s="84"/>
      <c r="BK127" s="84"/>
      <c r="BL127" s="78" t="e">
        <f t="shared" ref="BL127:BU127" si="739">+BL125+BL126</f>
        <v>#REF!</v>
      </c>
      <c r="BM127" s="78" t="e">
        <f t="shared" si="739"/>
        <v>#REF!</v>
      </c>
      <c r="BN127" s="78">
        <f t="shared" si="739"/>
        <v>0</v>
      </c>
      <c r="BO127" s="78">
        <f t="shared" si="739"/>
        <v>0</v>
      </c>
      <c r="BP127" s="78">
        <f t="shared" si="739"/>
        <v>0</v>
      </c>
      <c r="BQ127" s="78">
        <f t="shared" si="739"/>
        <v>0</v>
      </c>
      <c r="BR127" s="78">
        <f t="shared" si="739"/>
        <v>0</v>
      </c>
      <c r="BS127" s="78">
        <f t="shared" si="739"/>
        <v>0</v>
      </c>
      <c r="BT127" s="78">
        <f t="shared" si="739"/>
        <v>0</v>
      </c>
      <c r="BU127" s="78">
        <f t="shared" si="739"/>
        <v>0</v>
      </c>
    </row>
    <row r="128" spans="1:73" ht="20.100000000000001" customHeight="1" x14ac:dyDescent="0.3">
      <c r="A128" s="15">
        <v>27</v>
      </c>
      <c r="B128" s="16" t="s">
        <v>84</v>
      </c>
      <c r="C128" s="17">
        <v>250</v>
      </c>
      <c r="D128" s="17">
        <v>5</v>
      </c>
      <c r="E128" s="19" t="e">
        <f>C128+D128+#REF!+#REF!</f>
        <v>#REF!</v>
      </c>
      <c r="F128" s="17">
        <v>15</v>
      </c>
      <c r="G128" s="28">
        <v>0</v>
      </c>
      <c r="H128" s="19" t="e">
        <f>F128+G128+#REF!</f>
        <v>#REF!</v>
      </c>
      <c r="I128" s="17">
        <v>5</v>
      </c>
      <c r="J128" s="17">
        <v>0</v>
      </c>
      <c r="K128" s="19">
        <f t="shared" si="644"/>
        <v>5</v>
      </c>
      <c r="L128" s="28">
        <v>35</v>
      </c>
      <c r="M128" s="28">
        <v>0</v>
      </c>
      <c r="N128" s="19">
        <f t="shared" si="682"/>
        <v>35</v>
      </c>
      <c r="O128" s="19">
        <f t="shared" ref="O128:P135" si="740">C128+F128+I128+L128</f>
        <v>305</v>
      </c>
      <c r="P128" s="20">
        <f t="shared" si="740"/>
        <v>5</v>
      </c>
      <c r="Q128" s="19">
        <f t="shared" si="640"/>
        <v>310</v>
      </c>
      <c r="R128" s="17">
        <v>96</v>
      </c>
      <c r="S128" s="17">
        <v>0.75</v>
      </c>
      <c r="T128" s="17">
        <v>3.75</v>
      </c>
      <c r="U128" s="17">
        <v>0</v>
      </c>
      <c r="V128" s="17">
        <v>1.25</v>
      </c>
      <c r="W128" s="17">
        <v>0</v>
      </c>
      <c r="X128" s="17">
        <v>5</v>
      </c>
      <c r="Y128" s="113">
        <v>0</v>
      </c>
      <c r="Z128" s="127">
        <f t="shared" si="647"/>
        <v>11.25</v>
      </c>
      <c r="AA128" s="127">
        <f t="shared" si="674"/>
        <v>0.32999999999999996</v>
      </c>
      <c r="AB128" s="127">
        <f t="shared" si="648"/>
        <v>1.19</v>
      </c>
      <c r="AC128" s="127">
        <f t="shared" si="649"/>
        <v>0</v>
      </c>
      <c r="AD128" s="127">
        <f t="shared" si="650"/>
        <v>0.8</v>
      </c>
      <c r="AE128" s="127">
        <f t="shared" si="651"/>
        <v>0</v>
      </c>
      <c r="AF128" s="127">
        <v>0</v>
      </c>
      <c r="AG128" s="127">
        <v>0</v>
      </c>
      <c r="AH128" s="127">
        <f>ROUND(C128*7%,2)+0.5</f>
        <v>18</v>
      </c>
      <c r="AI128" s="127">
        <f t="shared" si="653"/>
        <v>0.55000000000000004</v>
      </c>
      <c r="AJ128" s="127">
        <f t="shared" si="654"/>
        <v>2.5499999999999998</v>
      </c>
      <c r="AK128" s="127">
        <f t="shared" si="655"/>
        <v>0</v>
      </c>
      <c r="AL128" s="127">
        <f t="shared" si="656"/>
        <v>0.45</v>
      </c>
      <c r="AM128" s="127">
        <f t="shared" si="657"/>
        <v>0</v>
      </c>
      <c r="AN128" s="127">
        <f t="shared" si="658"/>
        <v>8.75</v>
      </c>
      <c r="AO128" s="127">
        <f t="shared" si="667"/>
        <v>0</v>
      </c>
      <c r="AP128" s="127">
        <f t="shared" si="659"/>
        <v>62.5</v>
      </c>
      <c r="AQ128" s="127">
        <f t="shared" si="660"/>
        <v>1.41</v>
      </c>
      <c r="AR128" s="127">
        <f t="shared" si="661"/>
        <v>3.75</v>
      </c>
      <c r="AS128" s="127">
        <f t="shared" si="662"/>
        <v>0</v>
      </c>
      <c r="AT128" s="127">
        <f t="shared" si="663"/>
        <v>1.25</v>
      </c>
      <c r="AU128" s="127">
        <f t="shared" si="664"/>
        <v>0</v>
      </c>
      <c r="AV128" s="127">
        <f t="shared" si="665"/>
        <v>8.75</v>
      </c>
      <c r="AW128" s="127">
        <f t="shared" si="666"/>
        <v>0</v>
      </c>
      <c r="AX128" s="127"/>
      <c r="AY128" s="127"/>
      <c r="AZ128" s="127">
        <f t="shared" si="501"/>
        <v>187.75</v>
      </c>
      <c r="BA128" s="127">
        <f t="shared" si="726"/>
        <v>3.04</v>
      </c>
      <c r="BB128" s="127">
        <f t="shared" si="531"/>
        <v>11.24</v>
      </c>
      <c r="BC128" s="127">
        <f t="shared" si="531"/>
        <v>0</v>
      </c>
      <c r="BD128" s="127">
        <f t="shared" si="531"/>
        <v>3.75</v>
      </c>
      <c r="BE128" s="127">
        <f t="shared" si="444"/>
        <v>0</v>
      </c>
      <c r="BF128" s="127">
        <f t="shared" si="444"/>
        <v>22.5</v>
      </c>
      <c r="BG128" s="127">
        <f t="shared" si="444"/>
        <v>0</v>
      </c>
      <c r="BH128" s="2"/>
      <c r="BI128" s="2"/>
      <c r="BJ128" s="2"/>
      <c r="BK128" s="2"/>
      <c r="BL128" s="8" t="e">
        <f>ROUND(F128-#REF!,2)</f>
        <v>#REF!</v>
      </c>
      <c r="BM128" s="8" t="e">
        <f>ROUND(I128-#REF!,2)</f>
        <v>#REF!</v>
      </c>
    </row>
    <row r="129" spans="1:72" ht="20.100000000000001" customHeight="1" x14ac:dyDescent="0.3">
      <c r="A129" s="15">
        <v>28</v>
      </c>
      <c r="B129" s="16" t="s">
        <v>85</v>
      </c>
      <c r="C129" s="17">
        <v>525</v>
      </c>
      <c r="D129" s="17">
        <v>150</v>
      </c>
      <c r="E129" s="19" t="e">
        <f>C129+D129+#REF!+#REF!</f>
        <v>#REF!</v>
      </c>
      <c r="F129" s="17">
        <v>250</v>
      </c>
      <c r="G129" s="28">
        <v>0</v>
      </c>
      <c r="H129" s="19" t="e">
        <f>F129+G129+#REF!</f>
        <v>#REF!</v>
      </c>
      <c r="I129" s="17">
        <v>50</v>
      </c>
      <c r="J129" s="17">
        <v>0</v>
      </c>
      <c r="K129" s="19">
        <f t="shared" si="644"/>
        <v>50</v>
      </c>
      <c r="L129" s="28">
        <v>50</v>
      </c>
      <c r="M129" s="28">
        <v>0</v>
      </c>
      <c r="N129" s="19">
        <f t="shared" si="682"/>
        <v>50</v>
      </c>
      <c r="O129" s="19">
        <f t="shared" si="740"/>
        <v>875</v>
      </c>
      <c r="P129" s="20">
        <f t="shared" si="740"/>
        <v>150</v>
      </c>
      <c r="Q129" s="19">
        <f t="shared" si="640"/>
        <v>1025</v>
      </c>
      <c r="R129" s="17">
        <v>113</v>
      </c>
      <c r="S129" s="17">
        <v>22.5</v>
      </c>
      <c r="T129" s="17">
        <v>87.5</v>
      </c>
      <c r="U129" s="17">
        <v>0</v>
      </c>
      <c r="V129" s="17">
        <v>2.5</v>
      </c>
      <c r="W129" s="17">
        <v>0</v>
      </c>
      <c r="X129" s="17">
        <v>7.5</v>
      </c>
      <c r="Y129" s="113">
        <v>0</v>
      </c>
      <c r="Z129" s="127">
        <f>ROUND(C129*42.9%-R129,2)+0.05</f>
        <v>112.28</v>
      </c>
      <c r="AA129" s="127">
        <f t="shared" si="674"/>
        <v>10.42</v>
      </c>
      <c r="AB129" s="128">
        <f>ROUND(F129*32.94%-T129,2)+5.15</f>
        <v>0</v>
      </c>
      <c r="AC129" s="127">
        <f t="shared" si="649"/>
        <v>0</v>
      </c>
      <c r="AD129" s="127">
        <f t="shared" si="650"/>
        <v>18</v>
      </c>
      <c r="AE129" s="127">
        <f t="shared" si="651"/>
        <v>0</v>
      </c>
      <c r="AF129" s="127">
        <v>0</v>
      </c>
      <c r="AG129" s="127">
        <v>0</v>
      </c>
      <c r="AH129" s="127">
        <f>ROUND(C129*7%,2)+2</f>
        <v>38.75</v>
      </c>
      <c r="AI129" s="127">
        <f t="shared" si="653"/>
        <v>16.5</v>
      </c>
      <c r="AJ129" s="127">
        <f t="shared" si="654"/>
        <v>42.5</v>
      </c>
      <c r="AK129" s="127">
        <f t="shared" si="655"/>
        <v>0</v>
      </c>
      <c r="AL129" s="127">
        <f t="shared" si="656"/>
        <v>4.5</v>
      </c>
      <c r="AM129" s="127">
        <f t="shared" si="657"/>
        <v>0</v>
      </c>
      <c r="AN129" s="127">
        <f t="shared" si="658"/>
        <v>12.5</v>
      </c>
      <c r="AO129" s="127">
        <f t="shared" si="667"/>
        <v>0</v>
      </c>
      <c r="AP129" s="127">
        <f t="shared" si="659"/>
        <v>131.25</v>
      </c>
      <c r="AQ129" s="127">
        <f>ROUND(D129*28.15%,2)-0.07</f>
        <v>42.16</v>
      </c>
      <c r="AR129" s="127">
        <f t="shared" si="661"/>
        <v>62.5</v>
      </c>
      <c r="AS129" s="127">
        <f t="shared" si="662"/>
        <v>0</v>
      </c>
      <c r="AT129" s="127">
        <f t="shared" si="663"/>
        <v>12.5</v>
      </c>
      <c r="AU129" s="127">
        <f t="shared" si="664"/>
        <v>0</v>
      </c>
      <c r="AV129" s="127">
        <f t="shared" si="665"/>
        <v>12.5</v>
      </c>
      <c r="AW129" s="127">
        <f t="shared" si="666"/>
        <v>0</v>
      </c>
      <c r="AX129" s="127"/>
      <c r="AY129" s="127"/>
      <c r="AZ129" s="127">
        <f t="shared" si="501"/>
        <v>395.28</v>
      </c>
      <c r="BA129" s="127">
        <f t="shared" si="726"/>
        <v>91.58</v>
      </c>
      <c r="BB129" s="127">
        <f t="shared" si="531"/>
        <v>192.5</v>
      </c>
      <c r="BC129" s="127">
        <f t="shared" si="531"/>
        <v>0</v>
      </c>
      <c r="BD129" s="127">
        <f t="shared" si="531"/>
        <v>37.5</v>
      </c>
      <c r="BE129" s="127">
        <f t="shared" si="444"/>
        <v>0</v>
      </c>
      <c r="BF129" s="127">
        <f t="shared" si="444"/>
        <v>32.5</v>
      </c>
      <c r="BG129" s="127">
        <f t="shared" si="444"/>
        <v>0</v>
      </c>
      <c r="BH129" s="2"/>
      <c r="BI129" s="2"/>
      <c r="BJ129" s="2"/>
      <c r="BK129" s="2"/>
      <c r="BL129" s="8" t="e">
        <f>ROUND(F129-#REF!,2)</f>
        <v>#REF!</v>
      </c>
      <c r="BM129" s="8" t="e">
        <f>ROUND(I129-#REF!,2)</f>
        <v>#REF!</v>
      </c>
    </row>
    <row r="130" spans="1:72" ht="20.100000000000001" customHeight="1" x14ac:dyDescent="0.3">
      <c r="A130" s="23">
        <v>29</v>
      </c>
      <c r="B130" s="24" t="s">
        <v>86</v>
      </c>
      <c r="C130" s="17">
        <v>90</v>
      </c>
      <c r="D130" s="17">
        <v>10</v>
      </c>
      <c r="E130" s="19" t="e">
        <f>C130+D130+#REF!+#REF!</f>
        <v>#REF!</v>
      </c>
      <c r="F130" s="17">
        <v>75</v>
      </c>
      <c r="G130" s="28">
        <v>230</v>
      </c>
      <c r="H130" s="19" t="e">
        <f>F130+G130+#REF!</f>
        <v>#REF!</v>
      </c>
      <c r="I130" s="17">
        <v>10</v>
      </c>
      <c r="J130" s="17">
        <v>0</v>
      </c>
      <c r="K130" s="19">
        <f t="shared" si="644"/>
        <v>10</v>
      </c>
      <c r="L130" s="28">
        <v>5</v>
      </c>
      <c r="M130" s="28">
        <v>0</v>
      </c>
      <c r="N130" s="19">
        <f t="shared" si="682"/>
        <v>5</v>
      </c>
      <c r="O130" s="19">
        <f t="shared" si="740"/>
        <v>180</v>
      </c>
      <c r="P130" s="20">
        <f t="shared" si="740"/>
        <v>240</v>
      </c>
      <c r="Q130" s="19">
        <f t="shared" si="640"/>
        <v>420</v>
      </c>
      <c r="R130" s="17">
        <v>8.7899999999999991</v>
      </c>
      <c r="S130" s="17">
        <v>1.5</v>
      </c>
      <c r="T130" s="17">
        <v>18.75</v>
      </c>
      <c r="U130" s="17">
        <v>34.5</v>
      </c>
      <c r="V130" s="17">
        <v>1.25</v>
      </c>
      <c r="W130" s="17">
        <v>0</v>
      </c>
      <c r="X130" s="17">
        <v>1.25</v>
      </c>
      <c r="Y130" s="113">
        <v>0</v>
      </c>
      <c r="Z130" s="127">
        <f t="shared" si="647"/>
        <v>29.82</v>
      </c>
      <c r="AA130" s="127">
        <f>ROUND(D130*21.96%-S130,2)</f>
        <v>0.7</v>
      </c>
      <c r="AB130" s="127">
        <f t="shared" si="648"/>
        <v>5.96</v>
      </c>
      <c r="AC130" s="127">
        <f>ROUND(G130*21.85%-U130,2)-0.05</f>
        <v>15.709999999999999</v>
      </c>
      <c r="AD130" s="127">
        <f t="shared" si="650"/>
        <v>2.85</v>
      </c>
      <c r="AE130" s="127">
        <f t="shared" si="651"/>
        <v>0</v>
      </c>
      <c r="AF130" s="127">
        <v>0</v>
      </c>
      <c r="AG130" s="127">
        <v>0</v>
      </c>
      <c r="AH130" s="127">
        <f t="shared" si="652"/>
        <v>6.3</v>
      </c>
      <c r="AI130" s="127">
        <f t="shared" si="653"/>
        <v>1.1000000000000001</v>
      </c>
      <c r="AJ130" s="127">
        <f>ROUND(F130*17%,2)+0.6</f>
        <v>13.35</v>
      </c>
      <c r="AK130" s="127">
        <f>ROUND(G130*11%,2)+0.01</f>
        <v>25.310000000000002</v>
      </c>
      <c r="AL130" s="127">
        <f>ROUND(I130*9%,2)</f>
        <v>0.9</v>
      </c>
      <c r="AM130" s="127">
        <f t="shared" si="657"/>
        <v>0</v>
      </c>
      <c r="AN130" s="127">
        <f t="shared" si="658"/>
        <v>1.25</v>
      </c>
      <c r="AO130" s="127">
        <f t="shared" si="667"/>
        <v>0</v>
      </c>
      <c r="AP130" s="127">
        <f t="shared" si="659"/>
        <v>22.5</v>
      </c>
      <c r="AQ130" s="127">
        <f t="shared" si="660"/>
        <v>2.82</v>
      </c>
      <c r="AR130" s="127">
        <f t="shared" si="661"/>
        <v>18.75</v>
      </c>
      <c r="AS130" s="127">
        <f>ROUND(G130*28.15%,2)-0.04</f>
        <v>64.709999999999994</v>
      </c>
      <c r="AT130" s="127">
        <f t="shared" si="663"/>
        <v>2.5</v>
      </c>
      <c r="AU130" s="127">
        <f t="shared" si="664"/>
        <v>0</v>
      </c>
      <c r="AV130" s="127">
        <f t="shared" si="665"/>
        <v>1.25</v>
      </c>
      <c r="AW130" s="127">
        <f t="shared" si="666"/>
        <v>0</v>
      </c>
      <c r="AX130" s="127"/>
      <c r="AY130" s="127"/>
      <c r="AZ130" s="127">
        <f t="shared" si="501"/>
        <v>67.41</v>
      </c>
      <c r="BA130" s="127">
        <f t="shared" si="726"/>
        <v>6.12</v>
      </c>
      <c r="BB130" s="127">
        <f t="shared" si="531"/>
        <v>56.81</v>
      </c>
      <c r="BC130" s="127">
        <f t="shared" si="531"/>
        <v>140.22999999999999</v>
      </c>
      <c r="BD130" s="127">
        <f t="shared" si="531"/>
        <v>7.5</v>
      </c>
      <c r="BE130" s="127">
        <f t="shared" si="531"/>
        <v>0</v>
      </c>
      <c r="BF130" s="127">
        <f t="shared" ref="BF130:BG192" si="741">+AV130+AN130+AF130+X130</f>
        <v>3.75</v>
      </c>
      <c r="BG130" s="127">
        <f t="shared" si="741"/>
        <v>0</v>
      </c>
      <c r="BH130" s="2"/>
      <c r="BI130" s="2"/>
      <c r="BJ130" s="2"/>
      <c r="BK130" s="2"/>
      <c r="BL130" s="8" t="e">
        <f>ROUND(F130-#REF!,2)</f>
        <v>#REF!</v>
      </c>
      <c r="BM130" s="8" t="e">
        <f>ROUND(I130-#REF!,2)</f>
        <v>#REF!</v>
      </c>
    </row>
    <row r="131" spans="1:72" ht="20.100000000000001" customHeight="1" x14ac:dyDescent="0.3">
      <c r="A131" s="15">
        <v>30</v>
      </c>
      <c r="B131" s="16" t="s">
        <v>87</v>
      </c>
      <c r="C131" s="17">
        <v>250</v>
      </c>
      <c r="D131" s="17">
        <v>10</v>
      </c>
      <c r="E131" s="19" t="e">
        <f>C131+D131+#REF!+#REF!</f>
        <v>#REF!</v>
      </c>
      <c r="F131" s="17">
        <v>0</v>
      </c>
      <c r="G131" s="28">
        <v>0</v>
      </c>
      <c r="H131" s="19" t="e">
        <f>F131+G131+#REF!</f>
        <v>#REF!</v>
      </c>
      <c r="I131" s="17">
        <v>10</v>
      </c>
      <c r="J131" s="17">
        <v>0</v>
      </c>
      <c r="K131" s="19">
        <f t="shared" si="644"/>
        <v>10</v>
      </c>
      <c r="L131" s="28">
        <v>35</v>
      </c>
      <c r="M131" s="28">
        <v>0</v>
      </c>
      <c r="N131" s="19">
        <f t="shared" si="682"/>
        <v>35</v>
      </c>
      <c r="O131" s="19">
        <f t="shared" si="740"/>
        <v>295</v>
      </c>
      <c r="P131" s="20">
        <f t="shared" si="740"/>
        <v>10</v>
      </c>
      <c r="Q131" s="19">
        <f t="shared" si="640"/>
        <v>305</v>
      </c>
      <c r="R131" s="17">
        <v>60</v>
      </c>
      <c r="S131" s="17">
        <v>1.5</v>
      </c>
      <c r="T131" s="17">
        <v>0</v>
      </c>
      <c r="U131" s="17">
        <v>0</v>
      </c>
      <c r="V131" s="17">
        <v>2.5</v>
      </c>
      <c r="W131" s="17">
        <v>0</v>
      </c>
      <c r="X131" s="17">
        <v>5</v>
      </c>
      <c r="Y131" s="113">
        <v>0</v>
      </c>
      <c r="Z131" s="127">
        <f t="shared" si="647"/>
        <v>47.25</v>
      </c>
      <c r="AA131" s="127">
        <f>ROUND(D131*21.96%-S131,2)-0.02</f>
        <v>0.67999999999999994</v>
      </c>
      <c r="AB131" s="127">
        <f t="shared" si="648"/>
        <v>0</v>
      </c>
      <c r="AC131" s="127">
        <f t="shared" si="649"/>
        <v>0</v>
      </c>
      <c r="AD131" s="127">
        <f t="shared" si="650"/>
        <v>1.6</v>
      </c>
      <c r="AE131" s="127">
        <f t="shared" si="651"/>
        <v>0</v>
      </c>
      <c r="AF131" s="127">
        <v>0</v>
      </c>
      <c r="AG131" s="127">
        <v>0</v>
      </c>
      <c r="AH131" s="127">
        <f t="shared" si="652"/>
        <v>17.5</v>
      </c>
      <c r="AI131" s="127">
        <f t="shared" si="653"/>
        <v>1.1000000000000001</v>
      </c>
      <c r="AJ131" s="127">
        <f t="shared" si="654"/>
        <v>0</v>
      </c>
      <c r="AK131" s="127">
        <f t="shared" si="655"/>
        <v>0</v>
      </c>
      <c r="AL131" s="127">
        <f t="shared" si="656"/>
        <v>0.9</v>
      </c>
      <c r="AM131" s="127">
        <f t="shared" si="657"/>
        <v>0</v>
      </c>
      <c r="AN131" s="127">
        <f t="shared" si="658"/>
        <v>8.75</v>
      </c>
      <c r="AO131" s="127">
        <f t="shared" si="667"/>
        <v>0</v>
      </c>
      <c r="AP131" s="127">
        <f t="shared" si="659"/>
        <v>62.5</v>
      </c>
      <c r="AQ131" s="127">
        <f t="shared" si="660"/>
        <v>2.82</v>
      </c>
      <c r="AR131" s="127">
        <f t="shared" si="661"/>
        <v>0</v>
      </c>
      <c r="AS131" s="127">
        <f t="shared" si="662"/>
        <v>0</v>
      </c>
      <c r="AT131" s="127">
        <f t="shared" si="663"/>
        <v>2.5</v>
      </c>
      <c r="AU131" s="127">
        <f t="shared" si="664"/>
        <v>0</v>
      </c>
      <c r="AV131" s="127">
        <f t="shared" si="665"/>
        <v>8.75</v>
      </c>
      <c r="AW131" s="127">
        <f t="shared" si="666"/>
        <v>0</v>
      </c>
      <c r="AX131" s="127"/>
      <c r="AY131" s="127"/>
      <c r="AZ131" s="127">
        <f t="shared" si="501"/>
        <v>187.25</v>
      </c>
      <c r="BA131" s="127">
        <f t="shared" si="726"/>
        <v>6.1</v>
      </c>
      <c r="BB131" s="127">
        <f t="shared" si="531"/>
        <v>0</v>
      </c>
      <c r="BC131" s="127">
        <f t="shared" si="531"/>
        <v>0</v>
      </c>
      <c r="BD131" s="127">
        <f t="shared" si="531"/>
        <v>7.5</v>
      </c>
      <c r="BE131" s="127">
        <f t="shared" ref="BE131:BG194" si="742">+AU131+AM131+AE131+W131</f>
        <v>0</v>
      </c>
      <c r="BF131" s="127">
        <f t="shared" si="741"/>
        <v>22.5</v>
      </c>
      <c r="BG131" s="127">
        <f t="shared" si="741"/>
        <v>0</v>
      </c>
      <c r="BH131" s="2"/>
      <c r="BI131" s="2"/>
      <c r="BJ131" s="2"/>
      <c r="BK131" s="2"/>
      <c r="BL131" s="8" t="e">
        <f>ROUND(F131-#REF!,2)</f>
        <v>#REF!</v>
      </c>
      <c r="BM131" s="8" t="e">
        <f>ROUND(I131-#REF!,2)</f>
        <v>#REF!</v>
      </c>
    </row>
    <row r="132" spans="1:72" ht="20.100000000000001" customHeight="1" x14ac:dyDescent="0.3">
      <c r="A132" s="15">
        <v>31</v>
      </c>
      <c r="B132" s="16" t="s">
        <v>88</v>
      </c>
      <c r="C132" s="17">
        <v>190</v>
      </c>
      <c r="D132" s="17">
        <v>50</v>
      </c>
      <c r="E132" s="19" t="e">
        <f>C132+D132+#REF!+#REF!</f>
        <v>#REF!</v>
      </c>
      <c r="F132" s="17">
        <v>0</v>
      </c>
      <c r="G132" s="28">
        <v>0</v>
      </c>
      <c r="H132" s="19" t="e">
        <f>F132+G132+#REF!</f>
        <v>#REF!</v>
      </c>
      <c r="I132" s="17">
        <v>2</v>
      </c>
      <c r="J132" s="17">
        <v>0</v>
      </c>
      <c r="K132" s="19">
        <f t="shared" si="644"/>
        <v>2</v>
      </c>
      <c r="L132" s="28">
        <v>25</v>
      </c>
      <c r="M132" s="28">
        <v>0</v>
      </c>
      <c r="N132" s="19">
        <f t="shared" si="682"/>
        <v>25</v>
      </c>
      <c r="O132" s="19">
        <f t="shared" si="740"/>
        <v>217</v>
      </c>
      <c r="P132" s="20">
        <f t="shared" si="740"/>
        <v>50</v>
      </c>
      <c r="Q132" s="19">
        <f t="shared" si="640"/>
        <v>267</v>
      </c>
      <c r="R132" s="17">
        <v>43.92</v>
      </c>
      <c r="S132" s="17">
        <v>7.5</v>
      </c>
      <c r="T132" s="17">
        <v>0</v>
      </c>
      <c r="U132" s="17">
        <v>0</v>
      </c>
      <c r="V132" s="17">
        <v>0.5</v>
      </c>
      <c r="W132" s="17">
        <v>0</v>
      </c>
      <c r="X132" s="17">
        <v>2.5</v>
      </c>
      <c r="Y132" s="113">
        <v>0</v>
      </c>
      <c r="Z132" s="127">
        <f t="shared" si="647"/>
        <v>37.590000000000003</v>
      </c>
      <c r="AA132" s="127">
        <f t="shared" si="674"/>
        <v>3.46</v>
      </c>
      <c r="AB132" s="127">
        <f t="shared" si="648"/>
        <v>0</v>
      </c>
      <c r="AC132" s="127">
        <f t="shared" si="649"/>
        <v>0</v>
      </c>
      <c r="AD132" s="127">
        <f t="shared" si="650"/>
        <v>0.32</v>
      </c>
      <c r="AE132" s="127">
        <f t="shared" si="651"/>
        <v>0</v>
      </c>
      <c r="AF132" s="127">
        <v>0</v>
      </c>
      <c r="AG132" s="127">
        <v>0</v>
      </c>
      <c r="AH132" s="127">
        <f t="shared" si="652"/>
        <v>13.3</v>
      </c>
      <c r="AI132" s="127">
        <f t="shared" si="653"/>
        <v>5.5</v>
      </c>
      <c r="AJ132" s="127">
        <f t="shared" si="654"/>
        <v>0</v>
      </c>
      <c r="AK132" s="127">
        <f t="shared" si="655"/>
        <v>0</v>
      </c>
      <c r="AL132" s="127">
        <f t="shared" si="656"/>
        <v>0.18</v>
      </c>
      <c r="AM132" s="127">
        <f t="shared" si="657"/>
        <v>0</v>
      </c>
      <c r="AN132" s="127">
        <f t="shared" si="658"/>
        <v>6.25</v>
      </c>
      <c r="AO132" s="127">
        <f t="shared" si="667"/>
        <v>0</v>
      </c>
      <c r="AP132" s="127">
        <f t="shared" si="659"/>
        <v>47.5</v>
      </c>
      <c r="AQ132" s="127">
        <f t="shared" si="660"/>
        <v>14.08</v>
      </c>
      <c r="AR132" s="127">
        <f t="shared" si="661"/>
        <v>0</v>
      </c>
      <c r="AS132" s="127">
        <f t="shared" si="662"/>
        <v>0</v>
      </c>
      <c r="AT132" s="127">
        <f t="shared" si="663"/>
        <v>0.5</v>
      </c>
      <c r="AU132" s="127">
        <f t="shared" si="664"/>
        <v>0</v>
      </c>
      <c r="AV132" s="127">
        <f t="shared" si="665"/>
        <v>6.25</v>
      </c>
      <c r="AW132" s="127">
        <f t="shared" si="666"/>
        <v>0</v>
      </c>
      <c r="AX132" s="127"/>
      <c r="AY132" s="127"/>
      <c r="AZ132" s="127">
        <f t="shared" si="501"/>
        <v>142.31</v>
      </c>
      <c r="BA132" s="127">
        <f t="shared" si="726"/>
        <v>30.54</v>
      </c>
      <c r="BB132" s="127">
        <f t="shared" si="531"/>
        <v>0</v>
      </c>
      <c r="BC132" s="127">
        <f t="shared" si="531"/>
        <v>0</v>
      </c>
      <c r="BD132" s="127">
        <f t="shared" si="531"/>
        <v>1.5</v>
      </c>
      <c r="BE132" s="127">
        <f t="shared" si="742"/>
        <v>0</v>
      </c>
      <c r="BF132" s="127">
        <f t="shared" si="741"/>
        <v>15</v>
      </c>
      <c r="BG132" s="127">
        <f t="shared" si="741"/>
        <v>0</v>
      </c>
      <c r="BH132" s="2"/>
      <c r="BI132" s="2"/>
      <c r="BJ132" s="2"/>
      <c r="BK132" s="2"/>
      <c r="BL132" s="8" t="e">
        <f>ROUND(F132-#REF!,2)</f>
        <v>#REF!</v>
      </c>
      <c r="BM132" s="8" t="e">
        <f>ROUND(I132-#REF!,2)</f>
        <v>#REF!</v>
      </c>
    </row>
    <row r="133" spans="1:72" ht="20.100000000000001" customHeight="1" x14ac:dyDescent="0.3">
      <c r="A133" s="15">
        <v>32</v>
      </c>
      <c r="B133" s="16" t="s">
        <v>89</v>
      </c>
      <c r="C133" s="17">
        <v>350</v>
      </c>
      <c r="D133" s="17">
        <v>150</v>
      </c>
      <c r="E133" s="19" t="e">
        <f>C133+D133+#REF!+#REF!</f>
        <v>#REF!</v>
      </c>
      <c r="F133" s="17">
        <v>0</v>
      </c>
      <c r="G133" s="28">
        <v>0</v>
      </c>
      <c r="H133" s="19" t="e">
        <f>F133+G133+#REF!</f>
        <v>#REF!</v>
      </c>
      <c r="I133" s="17">
        <v>10</v>
      </c>
      <c r="J133" s="17">
        <v>5</v>
      </c>
      <c r="K133" s="19">
        <f t="shared" si="644"/>
        <v>15</v>
      </c>
      <c r="L133" s="28">
        <v>40</v>
      </c>
      <c r="M133" s="28">
        <v>10</v>
      </c>
      <c r="N133" s="19">
        <f t="shared" si="682"/>
        <v>50</v>
      </c>
      <c r="O133" s="19">
        <f t="shared" si="740"/>
        <v>400</v>
      </c>
      <c r="P133" s="20">
        <f t="shared" si="740"/>
        <v>165</v>
      </c>
      <c r="Q133" s="19">
        <f t="shared" si="640"/>
        <v>565</v>
      </c>
      <c r="R133" s="17">
        <v>103.2</v>
      </c>
      <c r="S133" s="17">
        <v>22.5</v>
      </c>
      <c r="T133" s="17">
        <v>0</v>
      </c>
      <c r="U133" s="17">
        <v>0</v>
      </c>
      <c r="V133" s="17">
        <v>2.5</v>
      </c>
      <c r="W133" s="17">
        <v>0.75</v>
      </c>
      <c r="X133" s="17">
        <v>3.75</v>
      </c>
      <c r="Y133" s="113">
        <v>1.5</v>
      </c>
      <c r="Z133" s="127">
        <f t="shared" si="647"/>
        <v>46.95</v>
      </c>
      <c r="AA133" s="127">
        <f t="shared" si="674"/>
        <v>10.42</v>
      </c>
      <c r="AB133" s="127">
        <f t="shared" si="648"/>
        <v>0</v>
      </c>
      <c r="AC133" s="127">
        <f t="shared" si="649"/>
        <v>0</v>
      </c>
      <c r="AD133" s="127">
        <f t="shared" si="650"/>
        <v>1.6</v>
      </c>
      <c r="AE133" s="127">
        <f>ROUND(J133*21.86%-W133,2)-0.01</f>
        <v>0.33</v>
      </c>
      <c r="AF133" s="127">
        <v>0</v>
      </c>
      <c r="AG133" s="127">
        <v>0</v>
      </c>
      <c r="AH133" s="127">
        <f>ROUND(C133*7%,2)+0.5</f>
        <v>25</v>
      </c>
      <c r="AI133" s="127">
        <f t="shared" si="653"/>
        <v>16.5</v>
      </c>
      <c r="AJ133" s="127">
        <f t="shared" si="654"/>
        <v>0</v>
      </c>
      <c r="AK133" s="127">
        <f t="shared" si="655"/>
        <v>0</v>
      </c>
      <c r="AL133" s="127">
        <f t="shared" si="656"/>
        <v>0.9</v>
      </c>
      <c r="AM133" s="127">
        <f t="shared" si="657"/>
        <v>0.55000000000000004</v>
      </c>
      <c r="AN133" s="127">
        <f t="shared" si="658"/>
        <v>10</v>
      </c>
      <c r="AO133" s="127">
        <f t="shared" si="667"/>
        <v>1.8</v>
      </c>
      <c r="AP133" s="127">
        <f t="shared" si="659"/>
        <v>87.5</v>
      </c>
      <c r="AQ133" s="127">
        <f t="shared" si="660"/>
        <v>42.23</v>
      </c>
      <c r="AR133" s="127">
        <f t="shared" si="661"/>
        <v>0</v>
      </c>
      <c r="AS133" s="127">
        <f t="shared" si="662"/>
        <v>0</v>
      </c>
      <c r="AT133" s="127">
        <f t="shared" si="663"/>
        <v>2.5</v>
      </c>
      <c r="AU133" s="127">
        <f t="shared" si="664"/>
        <v>1.41</v>
      </c>
      <c r="AV133" s="127">
        <f t="shared" si="665"/>
        <v>10</v>
      </c>
      <c r="AW133" s="127">
        <f t="shared" si="666"/>
        <v>2.82</v>
      </c>
      <c r="AX133" s="127"/>
      <c r="AY133" s="127"/>
      <c r="AZ133" s="127">
        <f t="shared" si="501"/>
        <v>262.64999999999998</v>
      </c>
      <c r="BA133" s="127">
        <f t="shared" si="726"/>
        <v>91.649999999999991</v>
      </c>
      <c r="BB133" s="127">
        <f t="shared" si="531"/>
        <v>0</v>
      </c>
      <c r="BC133" s="127">
        <f t="shared" si="531"/>
        <v>0</v>
      </c>
      <c r="BD133" s="127">
        <f t="shared" si="531"/>
        <v>7.5</v>
      </c>
      <c r="BE133" s="127">
        <f t="shared" si="742"/>
        <v>3.04</v>
      </c>
      <c r="BF133" s="127">
        <f t="shared" si="741"/>
        <v>23.75</v>
      </c>
      <c r="BG133" s="127">
        <f t="shared" si="741"/>
        <v>6.12</v>
      </c>
      <c r="BH133" s="2"/>
      <c r="BI133" s="2"/>
      <c r="BJ133" s="2"/>
      <c r="BK133" s="2"/>
      <c r="BL133" s="8" t="e">
        <f>ROUND(F133-#REF!,2)</f>
        <v>#REF!</v>
      </c>
      <c r="BM133" s="8" t="e">
        <f>ROUND(I133-#REF!,2)</f>
        <v>#REF!</v>
      </c>
    </row>
    <row r="134" spans="1:72" ht="20.100000000000001" customHeight="1" x14ac:dyDescent="0.3">
      <c r="A134" s="15">
        <v>33</v>
      </c>
      <c r="B134" s="16" t="s">
        <v>90</v>
      </c>
      <c r="C134" s="17">
        <v>240</v>
      </c>
      <c r="D134" s="17">
        <v>500</v>
      </c>
      <c r="E134" s="19" t="e">
        <f>C134+D134+#REF!+#REF!</f>
        <v>#REF!</v>
      </c>
      <c r="F134" s="17">
        <v>0</v>
      </c>
      <c r="G134" s="28">
        <v>0</v>
      </c>
      <c r="H134" s="19" t="e">
        <f>F134+G134+#REF!</f>
        <v>#REF!</v>
      </c>
      <c r="I134" s="17">
        <v>10</v>
      </c>
      <c r="J134" s="17">
        <v>0</v>
      </c>
      <c r="K134" s="19">
        <f t="shared" si="644"/>
        <v>10</v>
      </c>
      <c r="L134" s="28">
        <v>25</v>
      </c>
      <c r="M134" s="28">
        <v>0</v>
      </c>
      <c r="N134" s="19">
        <f t="shared" si="682"/>
        <v>25</v>
      </c>
      <c r="O134" s="19">
        <f t="shared" si="740"/>
        <v>275</v>
      </c>
      <c r="P134" s="20">
        <f t="shared" si="740"/>
        <v>500</v>
      </c>
      <c r="Q134" s="19">
        <f t="shared" si="640"/>
        <v>775</v>
      </c>
      <c r="R134" s="17">
        <v>60</v>
      </c>
      <c r="S134" s="17">
        <v>75</v>
      </c>
      <c r="T134" s="17">
        <v>0</v>
      </c>
      <c r="U134" s="17">
        <v>0</v>
      </c>
      <c r="V134" s="17">
        <v>1.25</v>
      </c>
      <c r="W134" s="17">
        <v>0</v>
      </c>
      <c r="X134" s="17">
        <v>2.5</v>
      </c>
      <c r="Y134" s="113">
        <v>0</v>
      </c>
      <c r="Z134" s="127">
        <f t="shared" si="647"/>
        <v>42.96</v>
      </c>
      <c r="AA134" s="127">
        <f t="shared" si="674"/>
        <v>34.779999999999994</v>
      </c>
      <c r="AB134" s="127">
        <f t="shared" si="648"/>
        <v>0</v>
      </c>
      <c r="AC134" s="127">
        <f t="shared" si="649"/>
        <v>0</v>
      </c>
      <c r="AD134" s="127">
        <f t="shared" si="650"/>
        <v>2.85</v>
      </c>
      <c r="AE134" s="127">
        <f t="shared" si="651"/>
        <v>0</v>
      </c>
      <c r="AF134" s="127">
        <v>0</v>
      </c>
      <c r="AG134" s="127">
        <v>0</v>
      </c>
      <c r="AH134" s="127">
        <f>ROUND(C134*7%,2)+0.5</f>
        <v>17.3</v>
      </c>
      <c r="AI134" s="127">
        <f>ROUND(D134*11%,2)-1</f>
        <v>54</v>
      </c>
      <c r="AJ134" s="127">
        <f t="shared" si="654"/>
        <v>0</v>
      </c>
      <c r="AK134" s="127">
        <f t="shared" si="655"/>
        <v>0</v>
      </c>
      <c r="AL134" s="127">
        <f t="shared" si="656"/>
        <v>0.9</v>
      </c>
      <c r="AM134" s="127">
        <f t="shared" si="657"/>
        <v>0</v>
      </c>
      <c r="AN134" s="127">
        <f t="shared" si="658"/>
        <v>6.25</v>
      </c>
      <c r="AO134" s="127">
        <f t="shared" si="667"/>
        <v>0</v>
      </c>
      <c r="AP134" s="127">
        <f t="shared" si="659"/>
        <v>60</v>
      </c>
      <c r="AQ134" s="127">
        <f t="shared" si="660"/>
        <v>140.75</v>
      </c>
      <c r="AR134" s="127">
        <f t="shared" si="661"/>
        <v>0</v>
      </c>
      <c r="AS134" s="127">
        <f t="shared" si="662"/>
        <v>0</v>
      </c>
      <c r="AT134" s="127">
        <f t="shared" si="663"/>
        <v>2.5</v>
      </c>
      <c r="AU134" s="127">
        <f t="shared" si="664"/>
        <v>0</v>
      </c>
      <c r="AV134" s="127">
        <f t="shared" si="665"/>
        <v>6.25</v>
      </c>
      <c r="AW134" s="127">
        <f t="shared" si="666"/>
        <v>0</v>
      </c>
      <c r="AX134" s="127"/>
      <c r="AY134" s="127"/>
      <c r="AZ134" s="127">
        <f t="shared" si="501"/>
        <v>180.26</v>
      </c>
      <c r="BA134" s="127">
        <f t="shared" si="726"/>
        <v>304.52999999999997</v>
      </c>
      <c r="BB134" s="127">
        <f t="shared" si="531"/>
        <v>0</v>
      </c>
      <c r="BC134" s="127">
        <f t="shared" si="531"/>
        <v>0</v>
      </c>
      <c r="BD134" s="127">
        <f t="shared" si="531"/>
        <v>7.5</v>
      </c>
      <c r="BE134" s="127">
        <f t="shared" si="742"/>
        <v>0</v>
      </c>
      <c r="BF134" s="127">
        <f t="shared" si="741"/>
        <v>15</v>
      </c>
      <c r="BG134" s="127">
        <f t="shared" si="741"/>
        <v>0</v>
      </c>
      <c r="BH134" s="2"/>
      <c r="BI134" s="2"/>
      <c r="BJ134" s="2"/>
      <c r="BK134" s="2"/>
      <c r="BL134" s="8" t="e">
        <f>ROUND(F134-#REF!,2)</f>
        <v>#REF!</v>
      </c>
      <c r="BM134" s="8" t="e">
        <f>ROUND(I134-#REF!,2)</f>
        <v>#REF!</v>
      </c>
    </row>
    <row r="135" spans="1:72" ht="20.100000000000001" customHeight="1" x14ac:dyDescent="0.3">
      <c r="A135" s="15">
        <v>34</v>
      </c>
      <c r="B135" s="16" t="s">
        <v>91</v>
      </c>
      <c r="C135" s="17">
        <v>215</v>
      </c>
      <c r="D135" s="17">
        <v>15</v>
      </c>
      <c r="E135" s="19" t="e">
        <f>C135+D135+#REF!+#REF!</f>
        <v>#REF!</v>
      </c>
      <c r="F135" s="17">
        <v>50</v>
      </c>
      <c r="G135" s="28">
        <v>8</v>
      </c>
      <c r="H135" s="19" t="e">
        <f>F135+G135+#REF!</f>
        <v>#REF!</v>
      </c>
      <c r="I135" s="17">
        <v>10</v>
      </c>
      <c r="J135" s="17">
        <v>0</v>
      </c>
      <c r="K135" s="19">
        <f t="shared" si="644"/>
        <v>10</v>
      </c>
      <c r="L135" s="28">
        <v>15</v>
      </c>
      <c r="M135" s="28">
        <v>0</v>
      </c>
      <c r="N135" s="19">
        <f t="shared" si="682"/>
        <v>15</v>
      </c>
      <c r="O135" s="19">
        <f t="shared" si="740"/>
        <v>290</v>
      </c>
      <c r="P135" s="20">
        <f t="shared" si="740"/>
        <v>23</v>
      </c>
      <c r="Q135" s="19">
        <f t="shared" si="640"/>
        <v>313</v>
      </c>
      <c r="R135" s="17">
        <v>114.19</v>
      </c>
      <c r="S135" s="17">
        <v>2.25</v>
      </c>
      <c r="T135" s="17">
        <v>5</v>
      </c>
      <c r="U135" s="17">
        <v>1.2</v>
      </c>
      <c r="V135" s="17">
        <v>1.25</v>
      </c>
      <c r="W135" s="17">
        <v>0</v>
      </c>
      <c r="X135" s="17">
        <v>2.5</v>
      </c>
      <c r="Y135" s="113">
        <v>0</v>
      </c>
      <c r="Z135" s="127">
        <f>ROUND(C135*42.9%-R135,2)+0.8</f>
        <v>-21.16</v>
      </c>
      <c r="AA135" s="127">
        <f>ROUND(D135*21.96%-S135,2)-0.04</f>
        <v>1</v>
      </c>
      <c r="AB135" s="127">
        <f t="shared" si="648"/>
        <v>11.47</v>
      </c>
      <c r="AC135" s="127">
        <f t="shared" si="649"/>
        <v>0.55000000000000004</v>
      </c>
      <c r="AD135" s="127">
        <f t="shared" si="650"/>
        <v>2.85</v>
      </c>
      <c r="AE135" s="127">
        <f t="shared" si="651"/>
        <v>0</v>
      </c>
      <c r="AF135" s="127">
        <v>0</v>
      </c>
      <c r="AG135" s="127">
        <v>0</v>
      </c>
      <c r="AH135" s="127">
        <f t="shared" si="652"/>
        <v>15.05</v>
      </c>
      <c r="AI135" s="127">
        <f t="shared" si="653"/>
        <v>1.65</v>
      </c>
      <c r="AJ135" s="127">
        <f t="shared" si="654"/>
        <v>8.5</v>
      </c>
      <c r="AK135" s="127">
        <f t="shared" si="655"/>
        <v>0.88</v>
      </c>
      <c r="AL135" s="127">
        <f t="shared" si="656"/>
        <v>0.9</v>
      </c>
      <c r="AM135" s="127">
        <f t="shared" si="657"/>
        <v>0</v>
      </c>
      <c r="AN135" s="127">
        <f t="shared" si="658"/>
        <v>3.75</v>
      </c>
      <c r="AO135" s="127">
        <f t="shared" si="667"/>
        <v>0</v>
      </c>
      <c r="AP135" s="127">
        <f t="shared" si="659"/>
        <v>53.75</v>
      </c>
      <c r="AQ135" s="127">
        <f t="shared" si="660"/>
        <v>4.22</v>
      </c>
      <c r="AR135" s="127">
        <f t="shared" si="661"/>
        <v>12.5</v>
      </c>
      <c r="AS135" s="127">
        <f t="shared" si="662"/>
        <v>2.25</v>
      </c>
      <c r="AT135" s="127">
        <f t="shared" si="663"/>
        <v>2.5</v>
      </c>
      <c r="AU135" s="127">
        <f t="shared" si="664"/>
        <v>0</v>
      </c>
      <c r="AV135" s="127">
        <f t="shared" si="665"/>
        <v>3.75</v>
      </c>
      <c r="AW135" s="127">
        <f t="shared" si="666"/>
        <v>0</v>
      </c>
      <c r="AX135" s="127"/>
      <c r="AY135" s="127"/>
      <c r="AZ135" s="127">
        <f t="shared" si="501"/>
        <v>161.82999999999998</v>
      </c>
      <c r="BA135" s="127">
        <f t="shared" si="726"/>
        <v>9.1199999999999992</v>
      </c>
      <c r="BB135" s="127">
        <f t="shared" si="531"/>
        <v>37.47</v>
      </c>
      <c r="BC135" s="127">
        <f t="shared" si="531"/>
        <v>4.88</v>
      </c>
      <c r="BD135" s="127">
        <f t="shared" si="531"/>
        <v>7.5</v>
      </c>
      <c r="BE135" s="127">
        <f t="shared" si="742"/>
        <v>0</v>
      </c>
      <c r="BF135" s="127">
        <f t="shared" si="741"/>
        <v>10</v>
      </c>
      <c r="BG135" s="127">
        <f t="shared" si="741"/>
        <v>0</v>
      </c>
      <c r="BH135" s="2"/>
      <c r="BI135" s="2"/>
      <c r="BJ135" s="2"/>
      <c r="BK135" s="2"/>
      <c r="BL135" s="8" t="e">
        <f>ROUND(F135-#REF!,2)</f>
        <v>#REF!</v>
      </c>
      <c r="BM135" s="8" t="e">
        <f>ROUND(I135-#REF!,2)</f>
        <v>#REF!</v>
      </c>
    </row>
    <row r="136" spans="1:72" s="6" customFormat="1" ht="20.100000000000001" customHeight="1" x14ac:dyDescent="0.3">
      <c r="A136" s="76"/>
      <c r="B136" s="77" t="s">
        <v>90</v>
      </c>
      <c r="C136" s="78">
        <f>+C134+C135</f>
        <v>455</v>
      </c>
      <c r="D136" s="78">
        <f t="shared" ref="D136:E136" si="743">+D134+D135</f>
        <v>515</v>
      </c>
      <c r="E136" s="78" t="e">
        <f t="shared" si="743"/>
        <v>#REF!</v>
      </c>
      <c r="F136" s="78">
        <f>+F134+F135</f>
        <v>50</v>
      </c>
      <c r="G136" s="78">
        <f t="shared" ref="G136" si="744">+G134+G135</f>
        <v>8</v>
      </c>
      <c r="H136" s="78" t="e">
        <f t="shared" ref="H136" si="745">+H134+H135</f>
        <v>#REF!</v>
      </c>
      <c r="I136" s="78">
        <f>+I134+I135</f>
        <v>20</v>
      </c>
      <c r="J136" s="78">
        <f t="shared" ref="J136" si="746">+J134+J135</f>
        <v>0</v>
      </c>
      <c r="K136" s="78">
        <f t="shared" ref="K136" si="747">+K134+K135</f>
        <v>20</v>
      </c>
      <c r="L136" s="78">
        <f>+L134+L135</f>
        <v>40</v>
      </c>
      <c r="M136" s="78">
        <f t="shared" ref="M136:BG136" si="748">+M134+M135</f>
        <v>0</v>
      </c>
      <c r="N136" s="78">
        <f t="shared" si="748"/>
        <v>40</v>
      </c>
      <c r="O136" s="78">
        <f t="shared" si="748"/>
        <v>565</v>
      </c>
      <c r="P136" s="78">
        <f t="shared" si="748"/>
        <v>523</v>
      </c>
      <c r="Q136" s="78">
        <f t="shared" si="748"/>
        <v>1088</v>
      </c>
      <c r="R136" s="78">
        <f t="shared" si="748"/>
        <v>174.19</v>
      </c>
      <c r="S136" s="78">
        <f t="shared" si="748"/>
        <v>77.25</v>
      </c>
      <c r="T136" s="78">
        <f t="shared" si="748"/>
        <v>5</v>
      </c>
      <c r="U136" s="78">
        <f t="shared" si="748"/>
        <v>1.2</v>
      </c>
      <c r="V136" s="78">
        <f t="shared" si="748"/>
        <v>2.5</v>
      </c>
      <c r="W136" s="78">
        <f t="shared" si="748"/>
        <v>0</v>
      </c>
      <c r="X136" s="78">
        <f t="shared" si="748"/>
        <v>5</v>
      </c>
      <c r="Y136" s="114">
        <f t="shared" si="748"/>
        <v>0</v>
      </c>
      <c r="Z136" s="78">
        <f t="shared" si="748"/>
        <v>21.8</v>
      </c>
      <c r="AA136" s="78">
        <f t="shared" si="748"/>
        <v>35.779999999999994</v>
      </c>
      <c r="AB136" s="78">
        <f t="shared" si="748"/>
        <v>11.47</v>
      </c>
      <c r="AC136" s="78">
        <f t="shared" si="748"/>
        <v>0.55000000000000004</v>
      </c>
      <c r="AD136" s="78">
        <f t="shared" si="748"/>
        <v>5.7</v>
      </c>
      <c r="AE136" s="78">
        <f t="shared" si="748"/>
        <v>0</v>
      </c>
      <c r="AF136" s="78">
        <f t="shared" si="748"/>
        <v>0</v>
      </c>
      <c r="AG136" s="78">
        <f t="shared" si="748"/>
        <v>0</v>
      </c>
      <c r="AH136" s="78">
        <f t="shared" si="748"/>
        <v>32.35</v>
      </c>
      <c r="AI136" s="78">
        <f t="shared" si="748"/>
        <v>55.65</v>
      </c>
      <c r="AJ136" s="78">
        <f t="shared" si="748"/>
        <v>8.5</v>
      </c>
      <c r="AK136" s="78">
        <f t="shared" si="748"/>
        <v>0.88</v>
      </c>
      <c r="AL136" s="78">
        <f t="shared" si="748"/>
        <v>1.8</v>
      </c>
      <c r="AM136" s="78">
        <f t="shared" si="748"/>
        <v>0</v>
      </c>
      <c r="AN136" s="78">
        <f t="shared" si="748"/>
        <v>10</v>
      </c>
      <c r="AO136" s="78">
        <f t="shared" si="748"/>
        <v>0</v>
      </c>
      <c r="AP136" s="78">
        <f t="shared" si="748"/>
        <v>113.75</v>
      </c>
      <c r="AQ136" s="78">
        <f t="shared" si="748"/>
        <v>144.97</v>
      </c>
      <c r="AR136" s="78">
        <f t="shared" si="748"/>
        <v>12.5</v>
      </c>
      <c r="AS136" s="78">
        <f t="shared" si="748"/>
        <v>2.25</v>
      </c>
      <c r="AT136" s="78">
        <f t="shared" si="748"/>
        <v>5</v>
      </c>
      <c r="AU136" s="78">
        <f t="shared" si="748"/>
        <v>0</v>
      </c>
      <c r="AV136" s="78">
        <f t="shared" si="748"/>
        <v>10</v>
      </c>
      <c r="AW136" s="78">
        <f t="shared" si="748"/>
        <v>0</v>
      </c>
      <c r="AX136" s="78">
        <f t="shared" si="748"/>
        <v>0</v>
      </c>
      <c r="AY136" s="78">
        <f t="shared" si="748"/>
        <v>0</v>
      </c>
      <c r="AZ136" s="78">
        <f t="shared" si="748"/>
        <v>342.09</v>
      </c>
      <c r="BA136" s="78">
        <f t="shared" si="748"/>
        <v>313.64999999999998</v>
      </c>
      <c r="BB136" s="78">
        <f t="shared" si="748"/>
        <v>37.47</v>
      </c>
      <c r="BC136" s="78">
        <f t="shared" si="748"/>
        <v>4.88</v>
      </c>
      <c r="BD136" s="78">
        <f t="shared" si="748"/>
        <v>15</v>
      </c>
      <c r="BE136" s="78">
        <f t="shared" si="748"/>
        <v>0</v>
      </c>
      <c r="BF136" s="78">
        <f t="shared" si="748"/>
        <v>25</v>
      </c>
      <c r="BG136" s="78">
        <f t="shared" si="748"/>
        <v>0</v>
      </c>
      <c r="BH136" s="84"/>
      <c r="BI136" s="84"/>
      <c r="BJ136" s="84"/>
      <c r="BK136" s="84"/>
      <c r="BL136" s="78" t="e">
        <f t="shared" ref="BL136:BT136" si="749">+BL134+BL135</f>
        <v>#REF!</v>
      </c>
      <c r="BM136" s="78" t="e">
        <f t="shared" si="749"/>
        <v>#REF!</v>
      </c>
      <c r="BN136" s="78">
        <f t="shared" si="749"/>
        <v>0</v>
      </c>
      <c r="BO136" s="78">
        <f t="shared" si="749"/>
        <v>0</v>
      </c>
      <c r="BP136" s="78">
        <f t="shared" si="749"/>
        <v>0</v>
      </c>
      <c r="BQ136" s="78">
        <f t="shared" si="749"/>
        <v>0</v>
      </c>
      <c r="BR136" s="78">
        <f t="shared" si="749"/>
        <v>0</v>
      </c>
      <c r="BS136" s="78">
        <f t="shared" si="749"/>
        <v>0</v>
      </c>
      <c r="BT136" s="78">
        <f t="shared" si="749"/>
        <v>0</v>
      </c>
    </row>
    <row r="137" spans="1:72" s="34" customFormat="1" ht="20.100000000000001" customHeight="1" x14ac:dyDescent="0.3">
      <c r="A137" s="31"/>
      <c r="B137" s="32" t="s">
        <v>92</v>
      </c>
      <c r="C137" s="33">
        <f>+C136+C133+C132+C131+C130+C129+C128+C127+C124+C121+C120+C119+C116+C115+C112+C109+C106+C103+C100+C97+C96+C95+C92</f>
        <v>12580</v>
      </c>
      <c r="D137" s="33">
        <f>+D136+D133+D132+D131+D130+D129+D128+D127+D124+D121+D120+D119+D116+D115+D112+D109+D106+D103+D100+D97+D96+D95+D92</f>
        <v>2880</v>
      </c>
      <c r="E137" s="33" t="e">
        <f t="shared" ref="E137:G137" si="750">+E136+E133+E132+E131+E130+E129+E128+E127+E124+E121+E120+E119+E116+E115+E112+E109+E106+E103+E100+E97+E96+E95+E92</f>
        <v>#REF!</v>
      </c>
      <c r="F137" s="33">
        <f t="shared" si="750"/>
        <v>2520</v>
      </c>
      <c r="G137" s="33">
        <f t="shared" si="750"/>
        <v>680</v>
      </c>
      <c r="H137" s="33" t="e">
        <f>+H136+H133+H132+H131+H130+H129+H128+H127+H124+H121+H120+H119+H116+H115+H112+H109+H106+H103+H100+H97+H96+H95+H92</f>
        <v>#REF!</v>
      </c>
      <c r="I137" s="33">
        <f>+I136+I133+I132+I131+I130+I129+I128+I127+I124+I121+I120+I119+I116+I115+I112+I109+I106+I103+I100+I97+I96+I95+I92</f>
        <v>851</v>
      </c>
      <c r="J137" s="33">
        <f t="shared" ref="J137" si="751">+J136+J133+J132+J131+J130+J129+J128+J127+J124+J121+J120+J119+J116+J115+J112+J109+J106+J103+J100+J97+J96+J95+J92</f>
        <v>29</v>
      </c>
      <c r="K137" s="33">
        <f t="shared" ref="K137" si="752">+K136+K133+K132+K131+K130+K129+K128+K127+K124+K121+K120+K119+K116+K115+K112+K109+K106+K103+K100+K97+K96+K95+K92</f>
        <v>880</v>
      </c>
      <c r="L137" s="33">
        <f>+L136+L133+L132+L131+L130+L129+L128+L127+L124+L121+L120+L119+L116+L115+L112+L109+L106+L103+L100+L97+L96+L95+L92</f>
        <v>1613</v>
      </c>
      <c r="M137" s="33">
        <f>+M136+M133+M132+M131+M130+M129+M128+M127+M124+M121+M120+M119+M116+M115+M112+M109+M106+M103+M100+M97+M96+M95+M92</f>
        <v>47</v>
      </c>
      <c r="N137" s="33">
        <f t="shared" ref="N137:BG137" si="753">+N136+N133+N132+N131+N130+N129+N128+N127+N124+N121+N120+N119+N116+N115+N112+N109+N106+N103+N100+N97+N96+N95+N92</f>
        <v>1660</v>
      </c>
      <c r="O137" s="33">
        <f t="shared" si="753"/>
        <v>17564</v>
      </c>
      <c r="P137" s="33">
        <f t="shared" si="753"/>
        <v>3636</v>
      </c>
      <c r="Q137" s="33">
        <f t="shared" si="753"/>
        <v>21200</v>
      </c>
      <c r="R137" s="33">
        <f t="shared" si="753"/>
        <v>3145</v>
      </c>
      <c r="S137" s="33">
        <f t="shared" si="753"/>
        <v>432</v>
      </c>
      <c r="T137" s="33">
        <f t="shared" si="753"/>
        <v>630</v>
      </c>
      <c r="U137" s="33">
        <f t="shared" si="753"/>
        <v>102</v>
      </c>
      <c r="V137" s="33">
        <f t="shared" si="753"/>
        <v>212.75</v>
      </c>
      <c r="W137" s="33">
        <f t="shared" si="753"/>
        <v>4.3500000000000014</v>
      </c>
      <c r="X137" s="33">
        <f t="shared" si="753"/>
        <v>403.25</v>
      </c>
      <c r="Y137" s="117">
        <f t="shared" si="753"/>
        <v>7.05</v>
      </c>
      <c r="Z137" s="33">
        <f t="shared" si="753"/>
        <v>2252.7999999999997</v>
      </c>
      <c r="AA137" s="33">
        <f t="shared" si="753"/>
        <v>200.44</v>
      </c>
      <c r="AB137" s="33">
        <f t="shared" si="753"/>
        <v>199.99999999999997</v>
      </c>
      <c r="AC137" s="33">
        <f t="shared" si="753"/>
        <v>46.569999999999993</v>
      </c>
      <c r="AD137" s="33">
        <f t="shared" si="753"/>
        <v>136.16</v>
      </c>
      <c r="AE137" s="33">
        <f t="shared" si="753"/>
        <v>1.9900000000000002</v>
      </c>
      <c r="AF137" s="33">
        <f t="shared" si="753"/>
        <v>0</v>
      </c>
      <c r="AG137" s="33">
        <f t="shared" si="753"/>
        <v>0</v>
      </c>
      <c r="AH137" s="33">
        <f t="shared" si="753"/>
        <v>892.19999999999993</v>
      </c>
      <c r="AI137" s="33">
        <f t="shared" si="753"/>
        <v>313.64000000000004</v>
      </c>
      <c r="AJ137" s="33">
        <f t="shared" si="753"/>
        <v>430</v>
      </c>
      <c r="AK137" s="33">
        <f t="shared" si="753"/>
        <v>74.809999999999988</v>
      </c>
      <c r="AL137" s="33">
        <f t="shared" si="753"/>
        <v>76.59</v>
      </c>
      <c r="AM137" s="33">
        <f t="shared" si="753"/>
        <v>3.1900000000000004</v>
      </c>
      <c r="AN137" s="33">
        <f t="shared" si="753"/>
        <v>403.25</v>
      </c>
      <c r="AO137" s="33">
        <f t="shared" si="753"/>
        <v>8.3899999999999988</v>
      </c>
      <c r="AP137" s="33">
        <f t="shared" si="753"/>
        <v>3145</v>
      </c>
      <c r="AQ137" s="33">
        <f t="shared" si="753"/>
        <v>810.71999999999991</v>
      </c>
      <c r="AR137" s="33">
        <f t="shared" si="753"/>
        <v>630</v>
      </c>
      <c r="AS137" s="33">
        <f t="shared" si="753"/>
        <v>191.42000000000002</v>
      </c>
      <c r="AT137" s="33">
        <f t="shared" si="753"/>
        <v>212.75</v>
      </c>
      <c r="AU137" s="33">
        <f t="shared" si="753"/>
        <v>8.16</v>
      </c>
      <c r="AV137" s="33">
        <f t="shared" si="753"/>
        <v>403.25</v>
      </c>
      <c r="AW137" s="33">
        <f t="shared" si="753"/>
        <v>13.23</v>
      </c>
      <c r="AX137" s="33">
        <f t="shared" si="753"/>
        <v>0</v>
      </c>
      <c r="AY137" s="33">
        <f t="shared" si="753"/>
        <v>0</v>
      </c>
      <c r="AZ137" s="33">
        <f t="shared" si="753"/>
        <v>9435.0000000000018</v>
      </c>
      <c r="BA137" s="33">
        <f t="shared" si="753"/>
        <v>1756.7999999999997</v>
      </c>
      <c r="BB137" s="33">
        <f t="shared" si="753"/>
        <v>1890</v>
      </c>
      <c r="BC137" s="33">
        <f t="shared" si="753"/>
        <v>414.80000000000007</v>
      </c>
      <c r="BD137" s="33">
        <f t="shared" si="753"/>
        <v>638.25</v>
      </c>
      <c r="BE137" s="33">
        <f t="shared" si="753"/>
        <v>17.689999999999998</v>
      </c>
      <c r="BF137" s="33">
        <f t="shared" si="753"/>
        <v>1209.75</v>
      </c>
      <c r="BG137" s="33">
        <f t="shared" si="753"/>
        <v>28.67</v>
      </c>
      <c r="BH137" s="2"/>
      <c r="BI137" s="2"/>
      <c r="BJ137" s="2"/>
      <c r="BK137" s="2"/>
      <c r="BL137" s="33" t="e">
        <f t="shared" ref="BL137:BQ137" si="754">+BL136+BL133+BL132+BL131+BL130+BL129+BL128+BL127+BL124+BL121+BL120+BL119+BL116+BL115+BL112+BL109+BL106+BL103+BL100+BL97+BL96+BL95+BL92</f>
        <v>#REF!</v>
      </c>
      <c r="BM137" s="33" t="e">
        <f t="shared" si="754"/>
        <v>#REF!</v>
      </c>
      <c r="BN137" s="33">
        <f t="shared" si="754"/>
        <v>0</v>
      </c>
      <c r="BO137" s="33">
        <f t="shared" si="754"/>
        <v>0</v>
      </c>
      <c r="BP137" s="33">
        <f t="shared" si="754"/>
        <v>0</v>
      </c>
      <c r="BQ137" s="33">
        <f t="shared" si="754"/>
        <v>0</v>
      </c>
    </row>
    <row r="138" spans="1:72" ht="20.100000000000001" customHeight="1" x14ac:dyDescent="0.3">
      <c r="A138" s="15">
        <v>1</v>
      </c>
      <c r="B138" s="16" t="s">
        <v>93</v>
      </c>
      <c r="C138" s="17">
        <v>853</v>
      </c>
      <c r="D138" s="17">
        <v>150</v>
      </c>
      <c r="E138" s="19" t="e">
        <f>C138+D138+#REF!+#REF!</f>
        <v>#REF!</v>
      </c>
      <c r="F138" s="17">
        <v>30</v>
      </c>
      <c r="G138" s="28">
        <v>10</v>
      </c>
      <c r="H138" s="19" t="e">
        <f>F138+G138+#REF!</f>
        <v>#REF!</v>
      </c>
      <c r="I138" s="17">
        <v>30</v>
      </c>
      <c r="J138" s="17">
        <v>0</v>
      </c>
      <c r="K138" s="19">
        <f t="shared" ref="K138:K185" si="755">I138+J138</f>
        <v>30</v>
      </c>
      <c r="L138" s="28">
        <v>110</v>
      </c>
      <c r="M138" s="28">
        <v>20</v>
      </c>
      <c r="N138" s="19">
        <f t="shared" si="682"/>
        <v>130</v>
      </c>
      <c r="O138" s="19">
        <f t="shared" ref="O138:P140" si="756">C138+F138+I138+L138</f>
        <v>1023</v>
      </c>
      <c r="P138" s="20">
        <f t="shared" si="756"/>
        <v>180</v>
      </c>
      <c r="Q138" s="19">
        <f t="shared" si="640"/>
        <v>1203</v>
      </c>
      <c r="R138" s="17">
        <f t="shared" ref="R138:R156" si="757">ROUND(C138*0.25,2)</f>
        <v>213.25</v>
      </c>
      <c r="S138" s="17">
        <f t="shared" ref="S138:S194" si="758">ROUND(D138*0.15,2)</f>
        <v>22.5</v>
      </c>
      <c r="T138" s="17">
        <f t="shared" ref="T138:T185" si="759">ROUND(F138*0.25,2)</f>
        <v>7.5</v>
      </c>
      <c r="U138" s="17">
        <f t="shared" ref="U138:U194" si="760">ROUND(G138*0.15,2)</f>
        <v>1.5</v>
      </c>
      <c r="V138" s="17">
        <f t="shared" ref="V138:V185" si="761">ROUND(I138*0.25,2)</f>
        <v>7.5</v>
      </c>
      <c r="W138" s="17">
        <f t="shared" ref="W138:W194" si="762">ROUND(J138*0.15,2)</f>
        <v>0</v>
      </c>
      <c r="X138" s="17">
        <f t="shared" ref="X138:X185" si="763">ROUND(L138*0.25,2)</f>
        <v>27.5</v>
      </c>
      <c r="Y138" s="113">
        <f t="shared" ref="Y138:Y194" si="764">ROUND(M138*0.15,2)</f>
        <v>3</v>
      </c>
      <c r="Z138" s="127">
        <f>ROUND(C138*17.7%,2)-0.1</f>
        <v>150.88</v>
      </c>
      <c r="AA138" s="127">
        <f>ROUND(D138*6.11%,2)+0.02</f>
        <v>9.19</v>
      </c>
      <c r="AB138" s="127">
        <f>ROUND(F138*16%,2)</f>
        <v>4.8</v>
      </c>
      <c r="AC138" s="127">
        <f>ROUND(G138*5.41%,2)</f>
        <v>0.54</v>
      </c>
      <c r="AD138" s="127">
        <f>ROUND(I138*16%,2)</f>
        <v>4.8</v>
      </c>
      <c r="AE138" s="127">
        <f>ROUND(J138*5.41%,2)</f>
        <v>0</v>
      </c>
      <c r="AF138" s="127">
        <v>0</v>
      </c>
      <c r="AG138" s="127">
        <v>0</v>
      </c>
      <c r="AH138" s="127">
        <f>ROUND(C138*7.3%,2)</f>
        <v>62.27</v>
      </c>
      <c r="AI138" s="127">
        <f>ROUND(D138*12%,2)-1</f>
        <v>17</v>
      </c>
      <c r="AJ138" s="127">
        <f>ROUND(F138*9%,2)</f>
        <v>2.7</v>
      </c>
      <c r="AK138" s="127">
        <f>ROUND(G138*12%,2)</f>
        <v>1.2</v>
      </c>
      <c r="AL138" s="127">
        <f t="shared" si="656"/>
        <v>2.7</v>
      </c>
      <c r="AM138" s="127">
        <f>ROUND(J138*12%,2)</f>
        <v>0</v>
      </c>
      <c r="AN138" s="127">
        <f t="shared" si="658"/>
        <v>27.5</v>
      </c>
      <c r="AO138" s="127">
        <f>ROUND(M138*18%,2)-0.04</f>
        <v>3.56</v>
      </c>
      <c r="AP138" s="127">
        <f t="shared" si="659"/>
        <v>213.25</v>
      </c>
      <c r="AQ138" s="127">
        <f t="shared" si="660"/>
        <v>42.23</v>
      </c>
      <c r="AR138" s="127">
        <f t="shared" si="661"/>
        <v>7.5</v>
      </c>
      <c r="AS138" s="127">
        <f t="shared" si="662"/>
        <v>2.82</v>
      </c>
      <c r="AT138" s="127">
        <f t="shared" si="663"/>
        <v>7.5</v>
      </c>
      <c r="AU138" s="127">
        <f t="shared" ref="AU138:AU156" si="765">ROUND(J138*28.15%,2)</f>
        <v>0</v>
      </c>
      <c r="AV138" s="127">
        <f t="shared" si="665"/>
        <v>27.5</v>
      </c>
      <c r="AW138" s="127">
        <f t="shared" si="666"/>
        <v>5.63</v>
      </c>
      <c r="AX138" s="127"/>
      <c r="AY138" s="127"/>
      <c r="AZ138" s="127">
        <f t="shared" ref="AZ138:AZ199" si="766">+AP138+AH138+Z138+R138+AX138</f>
        <v>639.65</v>
      </c>
      <c r="BA138" s="127">
        <f t="shared" si="726"/>
        <v>90.92</v>
      </c>
      <c r="BB138" s="127">
        <f t="shared" ref="BB138:BD200" si="767">+AR138+AJ138+AB138+T138</f>
        <v>22.5</v>
      </c>
      <c r="BC138" s="127">
        <f t="shared" si="767"/>
        <v>6.06</v>
      </c>
      <c r="BD138" s="127">
        <f t="shared" si="767"/>
        <v>22.5</v>
      </c>
      <c r="BE138" s="127">
        <f t="shared" si="742"/>
        <v>0</v>
      </c>
      <c r="BF138" s="127">
        <f t="shared" si="741"/>
        <v>82.5</v>
      </c>
      <c r="BG138" s="127">
        <f t="shared" si="741"/>
        <v>12.19</v>
      </c>
      <c r="BH138" s="2"/>
      <c r="BI138" s="2"/>
      <c r="BJ138" s="2"/>
      <c r="BK138" s="2"/>
      <c r="BL138" s="8" t="e">
        <f>ROUND(F138-#REF!,2)</f>
        <v>#REF!</v>
      </c>
      <c r="BM138" s="8" t="e">
        <f>ROUND(I138-#REF!,2)</f>
        <v>#REF!</v>
      </c>
    </row>
    <row r="139" spans="1:72" ht="20.100000000000001" customHeight="1" x14ac:dyDescent="0.3">
      <c r="A139" s="15">
        <v>2</v>
      </c>
      <c r="B139" s="16" t="s">
        <v>94</v>
      </c>
      <c r="C139" s="17">
        <v>860</v>
      </c>
      <c r="D139" s="17">
        <v>70</v>
      </c>
      <c r="E139" s="19" t="e">
        <f>C139+D139+#REF!+#REF!</f>
        <v>#REF!</v>
      </c>
      <c r="F139" s="17">
        <v>15</v>
      </c>
      <c r="G139" s="28">
        <v>0</v>
      </c>
      <c r="H139" s="19" t="e">
        <f>F139+G139+#REF!</f>
        <v>#REF!</v>
      </c>
      <c r="I139" s="17">
        <v>2</v>
      </c>
      <c r="J139" s="17">
        <v>0</v>
      </c>
      <c r="K139" s="19">
        <f t="shared" si="755"/>
        <v>2</v>
      </c>
      <c r="L139" s="28">
        <v>45</v>
      </c>
      <c r="M139" s="28">
        <v>10</v>
      </c>
      <c r="N139" s="19">
        <f t="shared" si="682"/>
        <v>55</v>
      </c>
      <c r="O139" s="19">
        <f t="shared" si="756"/>
        <v>922</v>
      </c>
      <c r="P139" s="20">
        <f t="shared" si="756"/>
        <v>80</v>
      </c>
      <c r="Q139" s="19">
        <f t="shared" si="640"/>
        <v>1002</v>
      </c>
      <c r="R139" s="17">
        <f t="shared" si="757"/>
        <v>215</v>
      </c>
      <c r="S139" s="17">
        <f t="shared" si="758"/>
        <v>10.5</v>
      </c>
      <c r="T139" s="17">
        <f t="shared" si="759"/>
        <v>3.75</v>
      </c>
      <c r="U139" s="17">
        <f t="shared" si="760"/>
        <v>0</v>
      </c>
      <c r="V139" s="17">
        <f t="shared" si="761"/>
        <v>0.5</v>
      </c>
      <c r="W139" s="17">
        <f t="shared" si="762"/>
        <v>0</v>
      </c>
      <c r="X139" s="17">
        <f t="shared" si="763"/>
        <v>11.25</v>
      </c>
      <c r="Y139" s="113">
        <f t="shared" si="764"/>
        <v>1.5</v>
      </c>
      <c r="Z139" s="127">
        <f t="shared" ref="Z139:Z185" si="768">ROUND(C139*17.7%,2)</f>
        <v>152.22</v>
      </c>
      <c r="AA139" s="127">
        <f t="shared" ref="AA139:AA185" si="769">ROUND(D139*6.11%,2)</f>
        <v>4.28</v>
      </c>
      <c r="AB139" s="127">
        <f t="shared" ref="AB139:AB185" si="770">ROUND(F139*16%,2)</f>
        <v>2.4</v>
      </c>
      <c r="AC139" s="127">
        <f t="shared" ref="AC139:AC185" si="771">ROUND(G139*5.41%,2)</f>
        <v>0</v>
      </c>
      <c r="AD139" s="127">
        <f t="shared" ref="AD139:AD185" si="772">ROUND(I139*16%,2)</f>
        <v>0.32</v>
      </c>
      <c r="AE139" s="127">
        <f t="shared" ref="AE139:AE185" si="773">ROUND(J139*5.41%,2)</f>
        <v>0</v>
      </c>
      <c r="AF139" s="127">
        <v>0</v>
      </c>
      <c r="AG139" s="127">
        <v>0</v>
      </c>
      <c r="AH139" s="127">
        <f t="shared" ref="AH139:AH185" si="774">ROUND(C139*7.3%,2)</f>
        <v>62.78</v>
      </c>
      <c r="AI139" s="127">
        <f t="shared" ref="AI139:AI185" si="775">ROUND(D139*12%,2)</f>
        <v>8.4</v>
      </c>
      <c r="AJ139" s="127">
        <f t="shared" ref="AJ139:AJ185" si="776">ROUND(F139*9%,2)</f>
        <v>1.35</v>
      </c>
      <c r="AK139" s="127">
        <f t="shared" ref="AK139:AK185" si="777">ROUND(G139*12%,2)</f>
        <v>0</v>
      </c>
      <c r="AL139" s="127">
        <f t="shared" si="656"/>
        <v>0.18</v>
      </c>
      <c r="AM139" s="127">
        <f t="shared" ref="AM139:AM185" si="778">ROUND(J139*12%,2)</f>
        <v>0</v>
      </c>
      <c r="AN139" s="127">
        <f t="shared" si="658"/>
        <v>11.25</v>
      </c>
      <c r="AO139" s="127">
        <f t="shared" si="667"/>
        <v>1.8</v>
      </c>
      <c r="AP139" s="127">
        <f t="shared" si="659"/>
        <v>215</v>
      </c>
      <c r="AQ139" s="127">
        <f t="shared" si="660"/>
        <v>19.71</v>
      </c>
      <c r="AR139" s="127">
        <f t="shared" si="661"/>
        <v>3.75</v>
      </c>
      <c r="AS139" s="127">
        <f t="shared" si="662"/>
        <v>0</v>
      </c>
      <c r="AT139" s="127">
        <f t="shared" si="663"/>
        <v>0.5</v>
      </c>
      <c r="AU139" s="127">
        <f t="shared" si="765"/>
        <v>0</v>
      </c>
      <c r="AV139" s="127">
        <f t="shared" si="665"/>
        <v>11.25</v>
      </c>
      <c r="AW139" s="127">
        <f t="shared" si="666"/>
        <v>2.82</v>
      </c>
      <c r="AX139" s="127"/>
      <c r="AY139" s="127"/>
      <c r="AZ139" s="127">
        <f t="shared" si="766"/>
        <v>645</v>
      </c>
      <c r="BA139" s="127">
        <f t="shared" si="726"/>
        <v>42.89</v>
      </c>
      <c r="BB139" s="127">
        <f t="shared" si="767"/>
        <v>11.25</v>
      </c>
      <c r="BC139" s="127">
        <f t="shared" si="767"/>
        <v>0</v>
      </c>
      <c r="BD139" s="127">
        <f t="shared" si="767"/>
        <v>1.5</v>
      </c>
      <c r="BE139" s="127">
        <f t="shared" si="742"/>
        <v>0</v>
      </c>
      <c r="BF139" s="127">
        <f t="shared" si="741"/>
        <v>33.75</v>
      </c>
      <c r="BG139" s="127">
        <f t="shared" si="741"/>
        <v>6.12</v>
      </c>
      <c r="BH139" s="2"/>
      <c r="BI139" s="2"/>
      <c r="BJ139" s="2"/>
      <c r="BK139" s="2"/>
      <c r="BL139" s="8" t="e">
        <f>ROUND(F139-#REF!,2)</f>
        <v>#REF!</v>
      </c>
      <c r="BM139" s="8" t="e">
        <f>ROUND(I139-#REF!,2)</f>
        <v>#REF!</v>
      </c>
    </row>
    <row r="140" spans="1:72" ht="20.100000000000001" customHeight="1" x14ac:dyDescent="0.3">
      <c r="A140" s="15">
        <v>3</v>
      </c>
      <c r="B140" s="16" t="s">
        <v>95</v>
      </c>
      <c r="C140" s="17">
        <v>460</v>
      </c>
      <c r="D140" s="17">
        <v>40</v>
      </c>
      <c r="E140" s="19" t="e">
        <f>C140+D140+#REF!+#REF!</f>
        <v>#REF!</v>
      </c>
      <c r="F140" s="17">
        <v>0</v>
      </c>
      <c r="G140" s="28">
        <v>0</v>
      </c>
      <c r="H140" s="19" t="e">
        <f>F140+G140+#REF!</f>
        <v>#REF!</v>
      </c>
      <c r="I140" s="17">
        <v>0</v>
      </c>
      <c r="J140" s="17">
        <v>0</v>
      </c>
      <c r="K140" s="19">
        <f t="shared" si="755"/>
        <v>0</v>
      </c>
      <c r="L140" s="28">
        <v>45</v>
      </c>
      <c r="M140" s="28">
        <v>10</v>
      </c>
      <c r="N140" s="19">
        <f t="shared" si="682"/>
        <v>55</v>
      </c>
      <c r="O140" s="19">
        <f t="shared" si="756"/>
        <v>505</v>
      </c>
      <c r="P140" s="20">
        <f t="shared" si="756"/>
        <v>50</v>
      </c>
      <c r="Q140" s="19">
        <f t="shared" si="640"/>
        <v>555</v>
      </c>
      <c r="R140" s="17">
        <f t="shared" si="757"/>
        <v>115</v>
      </c>
      <c r="S140" s="17">
        <f t="shared" si="758"/>
        <v>6</v>
      </c>
      <c r="T140" s="17">
        <f t="shared" si="759"/>
        <v>0</v>
      </c>
      <c r="U140" s="17">
        <f t="shared" si="760"/>
        <v>0</v>
      </c>
      <c r="V140" s="17">
        <f t="shared" si="761"/>
        <v>0</v>
      </c>
      <c r="W140" s="17">
        <f t="shared" si="762"/>
        <v>0</v>
      </c>
      <c r="X140" s="17">
        <f t="shared" si="763"/>
        <v>11.25</v>
      </c>
      <c r="Y140" s="113">
        <f t="shared" si="764"/>
        <v>1.5</v>
      </c>
      <c r="Z140" s="127">
        <f t="shared" si="768"/>
        <v>81.42</v>
      </c>
      <c r="AA140" s="127">
        <f t="shared" si="769"/>
        <v>2.44</v>
      </c>
      <c r="AB140" s="127">
        <f t="shared" si="770"/>
        <v>0</v>
      </c>
      <c r="AC140" s="127">
        <f t="shared" si="771"/>
        <v>0</v>
      </c>
      <c r="AD140" s="127">
        <f t="shared" si="772"/>
        <v>0</v>
      </c>
      <c r="AE140" s="127">
        <f t="shared" si="773"/>
        <v>0</v>
      </c>
      <c r="AF140" s="127">
        <v>0</v>
      </c>
      <c r="AG140" s="127">
        <v>0</v>
      </c>
      <c r="AH140" s="127">
        <f t="shared" si="774"/>
        <v>33.58</v>
      </c>
      <c r="AI140" s="127">
        <f t="shared" si="775"/>
        <v>4.8</v>
      </c>
      <c r="AJ140" s="127">
        <f t="shared" si="776"/>
        <v>0</v>
      </c>
      <c r="AK140" s="127">
        <f t="shared" si="777"/>
        <v>0</v>
      </c>
      <c r="AL140" s="127">
        <f t="shared" si="656"/>
        <v>0</v>
      </c>
      <c r="AM140" s="127">
        <f t="shared" si="778"/>
        <v>0</v>
      </c>
      <c r="AN140" s="127">
        <f t="shared" si="658"/>
        <v>11.25</v>
      </c>
      <c r="AO140" s="127">
        <f t="shared" si="667"/>
        <v>1.8</v>
      </c>
      <c r="AP140" s="127">
        <f t="shared" si="659"/>
        <v>115</v>
      </c>
      <c r="AQ140" s="127">
        <f t="shared" si="660"/>
        <v>11.26</v>
      </c>
      <c r="AR140" s="127">
        <f t="shared" si="661"/>
        <v>0</v>
      </c>
      <c r="AS140" s="127">
        <f t="shared" si="662"/>
        <v>0</v>
      </c>
      <c r="AT140" s="127">
        <f t="shared" si="663"/>
        <v>0</v>
      </c>
      <c r="AU140" s="127">
        <f t="shared" si="765"/>
        <v>0</v>
      </c>
      <c r="AV140" s="127">
        <f t="shared" si="665"/>
        <v>11.25</v>
      </c>
      <c r="AW140" s="127">
        <f t="shared" si="666"/>
        <v>2.82</v>
      </c>
      <c r="AX140" s="127"/>
      <c r="AY140" s="127"/>
      <c r="AZ140" s="127">
        <f t="shared" si="766"/>
        <v>345</v>
      </c>
      <c r="BA140" s="127">
        <f t="shared" si="726"/>
        <v>24.5</v>
      </c>
      <c r="BB140" s="127">
        <f t="shared" si="767"/>
        <v>0</v>
      </c>
      <c r="BC140" s="127">
        <f t="shared" si="767"/>
        <v>0</v>
      </c>
      <c r="BD140" s="127">
        <f t="shared" si="767"/>
        <v>0</v>
      </c>
      <c r="BE140" s="127">
        <f t="shared" si="742"/>
        <v>0</v>
      </c>
      <c r="BF140" s="127">
        <f t="shared" si="741"/>
        <v>33.75</v>
      </c>
      <c r="BG140" s="127">
        <f t="shared" si="741"/>
        <v>6.12</v>
      </c>
      <c r="BH140" s="2"/>
      <c r="BI140" s="2"/>
      <c r="BJ140" s="2"/>
      <c r="BK140" s="2"/>
      <c r="BL140" s="8" t="e">
        <f>ROUND(F140-#REF!,2)</f>
        <v>#REF!</v>
      </c>
      <c r="BM140" s="8" t="e">
        <f>ROUND(I140-#REF!,2)</f>
        <v>#REF!</v>
      </c>
    </row>
    <row r="141" spans="1:72" s="6" customFormat="1" ht="20.100000000000001" customHeight="1" x14ac:dyDescent="0.3">
      <c r="A141" s="76"/>
      <c r="B141" s="77" t="s">
        <v>94</v>
      </c>
      <c r="C141" s="78">
        <f>+C139+C140</f>
        <v>1320</v>
      </c>
      <c r="D141" s="78">
        <f t="shared" ref="D141:BG141" si="779">+D139+D140</f>
        <v>110</v>
      </c>
      <c r="E141" s="78" t="e">
        <f t="shared" si="779"/>
        <v>#REF!</v>
      </c>
      <c r="F141" s="78">
        <f t="shared" si="779"/>
        <v>15</v>
      </c>
      <c r="G141" s="78">
        <f t="shared" si="779"/>
        <v>0</v>
      </c>
      <c r="H141" s="78" t="e">
        <f t="shared" si="779"/>
        <v>#REF!</v>
      </c>
      <c r="I141" s="78">
        <f t="shared" si="779"/>
        <v>2</v>
      </c>
      <c r="J141" s="78">
        <f t="shared" si="779"/>
        <v>0</v>
      </c>
      <c r="K141" s="78">
        <f t="shared" si="779"/>
        <v>2</v>
      </c>
      <c r="L141" s="78">
        <f t="shared" si="779"/>
        <v>90</v>
      </c>
      <c r="M141" s="78">
        <f t="shared" si="779"/>
        <v>20</v>
      </c>
      <c r="N141" s="78">
        <f t="shared" si="779"/>
        <v>110</v>
      </c>
      <c r="O141" s="78">
        <f t="shared" si="779"/>
        <v>1427</v>
      </c>
      <c r="P141" s="78">
        <f t="shared" si="779"/>
        <v>130</v>
      </c>
      <c r="Q141" s="78">
        <f t="shared" si="779"/>
        <v>1557</v>
      </c>
      <c r="R141" s="78">
        <f t="shared" si="779"/>
        <v>330</v>
      </c>
      <c r="S141" s="78">
        <f t="shared" si="779"/>
        <v>16.5</v>
      </c>
      <c r="T141" s="78">
        <f t="shared" si="779"/>
        <v>3.75</v>
      </c>
      <c r="U141" s="78">
        <f t="shared" si="779"/>
        <v>0</v>
      </c>
      <c r="V141" s="78">
        <f t="shared" si="779"/>
        <v>0.5</v>
      </c>
      <c r="W141" s="78">
        <f t="shared" si="779"/>
        <v>0</v>
      </c>
      <c r="X141" s="78">
        <f t="shared" si="779"/>
        <v>22.5</v>
      </c>
      <c r="Y141" s="114">
        <f t="shared" si="779"/>
        <v>3</v>
      </c>
      <c r="Z141" s="78">
        <f t="shared" si="779"/>
        <v>233.64</v>
      </c>
      <c r="AA141" s="78">
        <f t="shared" si="779"/>
        <v>6.7200000000000006</v>
      </c>
      <c r="AB141" s="78">
        <f t="shared" si="779"/>
        <v>2.4</v>
      </c>
      <c r="AC141" s="78">
        <f t="shared" si="779"/>
        <v>0</v>
      </c>
      <c r="AD141" s="78">
        <f t="shared" si="779"/>
        <v>0.32</v>
      </c>
      <c r="AE141" s="78">
        <f t="shared" si="779"/>
        <v>0</v>
      </c>
      <c r="AF141" s="78">
        <f t="shared" si="779"/>
        <v>0</v>
      </c>
      <c r="AG141" s="78">
        <f t="shared" si="779"/>
        <v>0</v>
      </c>
      <c r="AH141" s="78">
        <f t="shared" si="779"/>
        <v>96.36</v>
      </c>
      <c r="AI141" s="78">
        <f t="shared" si="779"/>
        <v>13.2</v>
      </c>
      <c r="AJ141" s="78">
        <f t="shared" si="779"/>
        <v>1.35</v>
      </c>
      <c r="AK141" s="78">
        <f t="shared" si="779"/>
        <v>0</v>
      </c>
      <c r="AL141" s="78">
        <f t="shared" si="779"/>
        <v>0.18</v>
      </c>
      <c r="AM141" s="78">
        <f t="shared" si="779"/>
        <v>0</v>
      </c>
      <c r="AN141" s="78">
        <f t="shared" si="779"/>
        <v>22.5</v>
      </c>
      <c r="AO141" s="78">
        <f t="shared" si="779"/>
        <v>3.6</v>
      </c>
      <c r="AP141" s="78">
        <f t="shared" si="779"/>
        <v>330</v>
      </c>
      <c r="AQ141" s="78">
        <f t="shared" si="779"/>
        <v>30.97</v>
      </c>
      <c r="AR141" s="78">
        <f t="shared" si="779"/>
        <v>3.75</v>
      </c>
      <c r="AS141" s="78">
        <f t="shared" si="779"/>
        <v>0</v>
      </c>
      <c r="AT141" s="78">
        <f t="shared" si="779"/>
        <v>0.5</v>
      </c>
      <c r="AU141" s="78">
        <f t="shared" si="779"/>
        <v>0</v>
      </c>
      <c r="AV141" s="78">
        <f t="shared" si="779"/>
        <v>22.5</v>
      </c>
      <c r="AW141" s="78">
        <f t="shared" si="779"/>
        <v>5.64</v>
      </c>
      <c r="AX141" s="78">
        <f t="shared" si="779"/>
        <v>0</v>
      </c>
      <c r="AY141" s="78">
        <f t="shared" si="779"/>
        <v>0</v>
      </c>
      <c r="AZ141" s="78">
        <f t="shared" si="779"/>
        <v>990</v>
      </c>
      <c r="BA141" s="78">
        <f t="shared" si="779"/>
        <v>67.39</v>
      </c>
      <c r="BB141" s="78">
        <f t="shared" si="779"/>
        <v>11.25</v>
      </c>
      <c r="BC141" s="78">
        <f t="shared" si="779"/>
        <v>0</v>
      </c>
      <c r="BD141" s="78">
        <f t="shared" si="779"/>
        <v>1.5</v>
      </c>
      <c r="BE141" s="78">
        <f t="shared" si="779"/>
        <v>0</v>
      </c>
      <c r="BF141" s="78">
        <f t="shared" si="779"/>
        <v>67.5</v>
      </c>
      <c r="BG141" s="78">
        <f t="shared" si="779"/>
        <v>12.24</v>
      </c>
      <c r="BH141" s="78"/>
      <c r="BI141" s="78"/>
      <c r="BJ141" s="78"/>
      <c r="BK141" s="78"/>
      <c r="BL141" s="27" t="e">
        <f>ROUND(F141-#REF!,2)</f>
        <v>#REF!</v>
      </c>
      <c r="BM141" s="27" t="e">
        <f>ROUND(I141-#REF!,2)</f>
        <v>#REF!</v>
      </c>
    </row>
    <row r="142" spans="1:72" ht="20.100000000000001" customHeight="1" x14ac:dyDescent="0.3">
      <c r="A142" s="15">
        <v>4</v>
      </c>
      <c r="B142" s="16" t="s">
        <v>96</v>
      </c>
      <c r="C142" s="17">
        <v>530</v>
      </c>
      <c r="D142" s="17">
        <v>45</v>
      </c>
      <c r="E142" s="19" t="e">
        <f>C142+D142+#REF!+#REF!</f>
        <v>#REF!</v>
      </c>
      <c r="F142" s="17">
        <v>30</v>
      </c>
      <c r="G142" s="28">
        <v>10</v>
      </c>
      <c r="H142" s="19" t="e">
        <f>F142+G142+#REF!</f>
        <v>#REF!</v>
      </c>
      <c r="I142" s="17">
        <v>26</v>
      </c>
      <c r="J142" s="17">
        <v>0</v>
      </c>
      <c r="K142" s="19">
        <f t="shared" si="755"/>
        <v>26</v>
      </c>
      <c r="L142" s="28">
        <v>60</v>
      </c>
      <c r="M142" s="28">
        <v>10</v>
      </c>
      <c r="N142" s="19">
        <f t="shared" si="682"/>
        <v>70</v>
      </c>
      <c r="O142" s="19">
        <f>C142+F142+I142+L142</f>
        <v>646</v>
      </c>
      <c r="P142" s="20">
        <f>D142+G142+J142+M142</f>
        <v>65</v>
      </c>
      <c r="Q142" s="19">
        <f t="shared" si="640"/>
        <v>711</v>
      </c>
      <c r="R142" s="17">
        <f t="shared" si="757"/>
        <v>132.5</v>
      </c>
      <c r="S142" s="17">
        <f t="shared" si="758"/>
        <v>6.75</v>
      </c>
      <c r="T142" s="17">
        <f t="shared" si="759"/>
        <v>7.5</v>
      </c>
      <c r="U142" s="17">
        <f t="shared" si="760"/>
        <v>1.5</v>
      </c>
      <c r="V142" s="17">
        <f t="shared" si="761"/>
        <v>6.5</v>
      </c>
      <c r="W142" s="17">
        <f t="shared" si="762"/>
        <v>0</v>
      </c>
      <c r="X142" s="17">
        <f t="shared" si="763"/>
        <v>15</v>
      </c>
      <c r="Y142" s="113">
        <f t="shared" si="764"/>
        <v>1.5</v>
      </c>
      <c r="Z142" s="127">
        <f t="shared" si="768"/>
        <v>93.81</v>
      </c>
      <c r="AA142" s="127">
        <f t="shared" si="769"/>
        <v>2.75</v>
      </c>
      <c r="AB142" s="127">
        <f t="shared" si="770"/>
        <v>4.8</v>
      </c>
      <c r="AC142" s="127">
        <f t="shared" si="771"/>
        <v>0.54</v>
      </c>
      <c r="AD142" s="127">
        <f t="shared" si="772"/>
        <v>4.16</v>
      </c>
      <c r="AE142" s="127">
        <f t="shared" si="773"/>
        <v>0</v>
      </c>
      <c r="AF142" s="127">
        <v>0</v>
      </c>
      <c r="AG142" s="127">
        <v>0</v>
      </c>
      <c r="AH142" s="127">
        <f t="shared" si="774"/>
        <v>38.69</v>
      </c>
      <c r="AI142" s="127">
        <f t="shared" si="775"/>
        <v>5.4</v>
      </c>
      <c r="AJ142" s="127">
        <f t="shared" si="776"/>
        <v>2.7</v>
      </c>
      <c r="AK142" s="127">
        <f t="shared" si="777"/>
        <v>1.2</v>
      </c>
      <c r="AL142" s="127">
        <f t="shared" si="656"/>
        <v>2.34</v>
      </c>
      <c r="AM142" s="127">
        <f t="shared" si="778"/>
        <v>0</v>
      </c>
      <c r="AN142" s="127">
        <f t="shared" si="658"/>
        <v>15</v>
      </c>
      <c r="AO142" s="127">
        <f t="shared" si="667"/>
        <v>1.8</v>
      </c>
      <c r="AP142" s="127">
        <f t="shared" si="659"/>
        <v>132.5</v>
      </c>
      <c r="AQ142" s="127">
        <f t="shared" si="660"/>
        <v>12.67</v>
      </c>
      <c r="AR142" s="127">
        <f t="shared" si="661"/>
        <v>7.5</v>
      </c>
      <c r="AS142" s="127">
        <f t="shared" si="662"/>
        <v>2.82</v>
      </c>
      <c r="AT142" s="127">
        <f t="shared" si="663"/>
        <v>6.5</v>
      </c>
      <c r="AU142" s="127">
        <f t="shared" si="765"/>
        <v>0</v>
      </c>
      <c r="AV142" s="127">
        <f t="shared" si="665"/>
        <v>15</v>
      </c>
      <c r="AW142" s="127">
        <f t="shared" si="666"/>
        <v>2.82</v>
      </c>
      <c r="AX142" s="127"/>
      <c r="AY142" s="127"/>
      <c r="AZ142" s="127">
        <f t="shared" si="766"/>
        <v>397.5</v>
      </c>
      <c r="BA142" s="127">
        <f t="shared" si="726"/>
        <v>27.57</v>
      </c>
      <c r="BB142" s="127">
        <f t="shared" si="767"/>
        <v>22.5</v>
      </c>
      <c r="BC142" s="127">
        <f t="shared" si="767"/>
        <v>6.06</v>
      </c>
      <c r="BD142" s="127">
        <f t="shared" si="767"/>
        <v>19.5</v>
      </c>
      <c r="BE142" s="127">
        <f t="shared" si="742"/>
        <v>0</v>
      </c>
      <c r="BF142" s="127">
        <f t="shared" si="741"/>
        <v>45</v>
      </c>
      <c r="BG142" s="127">
        <f t="shared" si="741"/>
        <v>6.12</v>
      </c>
      <c r="BH142" s="2"/>
      <c r="BI142" s="2"/>
      <c r="BJ142" s="2"/>
      <c r="BK142" s="2"/>
      <c r="BL142" s="8" t="e">
        <f>ROUND(F142-#REF!,2)</f>
        <v>#REF!</v>
      </c>
      <c r="BM142" s="8" t="e">
        <f>ROUND(I142-#REF!,2)</f>
        <v>#REF!</v>
      </c>
    </row>
    <row r="143" spans="1:72" ht="20.100000000000001" customHeight="1" x14ac:dyDescent="0.3">
      <c r="A143" s="15">
        <v>5</v>
      </c>
      <c r="B143" s="16" t="s">
        <v>97</v>
      </c>
      <c r="C143" s="17">
        <v>300</v>
      </c>
      <c r="D143" s="17">
        <v>20</v>
      </c>
      <c r="E143" s="19" t="e">
        <f>C143+D143+#REF!+#REF!</f>
        <v>#REF!</v>
      </c>
      <c r="F143" s="17">
        <v>45</v>
      </c>
      <c r="G143" s="28">
        <v>5</v>
      </c>
      <c r="H143" s="19" t="e">
        <f>F143+G143+#REF!</f>
        <v>#REF!</v>
      </c>
      <c r="I143" s="17">
        <v>88</v>
      </c>
      <c r="J143" s="17">
        <v>0</v>
      </c>
      <c r="K143" s="19">
        <f t="shared" si="755"/>
        <v>88</v>
      </c>
      <c r="L143" s="28">
        <v>45</v>
      </c>
      <c r="M143" s="28">
        <v>0</v>
      </c>
      <c r="N143" s="19">
        <f t="shared" si="682"/>
        <v>45</v>
      </c>
      <c r="O143" s="19">
        <f>C143+F143+I143+L143</f>
        <v>478</v>
      </c>
      <c r="P143" s="20">
        <f>D143+G143+J143+M143</f>
        <v>25</v>
      </c>
      <c r="Q143" s="19">
        <f t="shared" si="640"/>
        <v>503</v>
      </c>
      <c r="R143" s="17">
        <f t="shared" si="757"/>
        <v>75</v>
      </c>
      <c r="S143" s="17">
        <f t="shared" si="758"/>
        <v>3</v>
      </c>
      <c r="T143" s="17">
        <f t="shared" si="759"/>
        <v>11.25</v>
      </c>
      <c r="U143" s="17">
        <f t="shared" si="760"/>
        <v>0.75</v>
      </c>
      <c r="V143" s="17">
        <f t="shared" si="761"/>
        <v>22</v>
      </c>
      <c r="W143" s="17">
        <f t="shared" si="762"/>
        <v>0</v>
      </c>
      <c r="X143" s="17">
        <f t="shared" si="763"/>
        <v>11.25</v>
      </c>
      <c r="Y143" s="113">
        <f t="shared" si="764"/>
        <v>0</v>
      </c>
      <c r="Z143" s="127">
        <f t="shared" si="768"/>
        <v>53.1</v>
      </c>
      <c r="AA143" s="127">
        <f t="shared" si="769"/>
        <v>1.22</v>
      </c>
      <c r="AB143" s="127">
        <f t="shared" si="770"/>
        <v>7.2</v>
      </c>
      <c r="AC143" s="127">
        <f t="shared" si="771"/>
        <v>0.27</v>
      </c>
      <c r="AD143" s="127">
        <f t="shared" si="772"/>
        <v>14.08</v>
      </c>
      <c r="AE143" s="127">
        <f t="shared" si="773"/>
        <v>0</v>
      </c>
      <c r="AF143" s="127">
        <v>0</v>
      </c>
      <c r="AG143" s="127">
        <v>0</v>
      </c>
      <c r="AH143" s="127">
        <f t="shared" si="774"/>
        <v>21.9</v>
      </c>
      <c r="AI143" s="127">
        <f t="shared" si="775"/>
        <v>2.4</v>
      </c>
      <c r="AJ143" s="127">
        <f t="shared" si="776"/>
        <v>4.05</v>
      </c>
      <c r="AK143" s="127">
        <f t="shared" si="777"/>
        <v>0.6</v>
      </c>
      <c r="AL143" s="127">
        <f t="shared" si="656"/>
        <v>7.92</v>
      </c>
      <c r="AM143" s="127">
        <f t="shared" si="778"/>
        <v>0</v>
      </c>
      <c r="AN143" s="127">
        <f t="shared" si="658"/>
        <v>11.25</v>
      </c>
      <c r="AO143" s="127">
        <f t="shared" si="667"/>
        <v>0</v>
      </c>
      <c r="AP143" s="127">
        <f t="shared" si="659"/>
        <v>75</v>
      </c>
      <c r="AQ143" s="127">
        <f t="shared" si="660"/>
        <v>5.63</v>
      </c>
      <c r="AR143" s="127">
        <f t="shared" si="661"/>
        <v>11.25</v>
      </c>
      <c r="AS143" s="127">
        <f t="shared" si="662"/>
        <v>1.41</v>
      </c>
      <c r="AT143" s="127">
        <f t="shared" si="663"/>
        <v>22</v>
      </c>
      <c r="AU143" s="127">
        <f t="shared" si="765"/>
        <v>0</v>
      </c>
      <c r="AV143" s="127">
        <f t="shared" si="665"/>
        <v>11.25</v>
      </c>
      <c r="AW143" s="127">
        <f t="shared" si="666"/>
        <v>0</v>
      </c>
      <c r="AX143" s="127"/>
      <c r="AY143" s="127"/>
      <c r="AZ143" s="127">
        <f t="shared" si="766"/>
        <v>225</v>
      </c>
      <c r="BA143" s="127">
        <f t="shared" si="726"/>
        <v>12.25</v>
      </c>
      <c r="BB143" s="127">
        <f t="shared" si="767"/>
        <v>33.75</v>
      </c>
      <c r="BC143" s="127">
        <f t="shared" si="767"/>
        <v>3.03</v>
      </c>
      <c r="BD143" s="127">
        <f t="shared" si="767"/>
        <v>66</v>
      </c>
      <c r="BE143" s="127">
        <f t="shared" si="742"/>
        <v>0</v>
      </c>
      <c r="BF143" s="127">
        <f t="shared" si="741"/>
        <v>33.75</v>
      </c>
      <c r="BG143" s="127">
        <f t="shared" si="741"/>
        <v>0</v>
      </c>
      <c r="BH143" s="2"/>
      <c r="BI143" s="2"/>
      <c r="BJ143" s="2"/>
      <c r="BK143" s="2"/>
      <c r="BL143" s="8" t="e">
        <f>ROUND(F143-#REF!,2)</f>
        <v>#REF!</v>
      </c>
      <c r="BM143" s="8" t="e">
        <f>ROUND(I143-#REF!,2)</f>
        <v>#REF!</v>
      </c>
    </row>
    <row r="144" spans="1:72" s="6" customFormat="1" ht="20.100000000000001" customHeight="1" x14ac:dyDescent="0.3">
      <c r="A144" s="76"/>
      <c r="B144" s="77" t="s">
        <v>96</v>
      </c>
      <c r="C144" s="78">
        <f>+C142+C143</f>
        <v>830</v>
      </c>
      <c r="D144" s="78">
        <f t="shared" ref="D144:BG144" si="780">+D142+D143</f>
        <v>65</v>
      </c>
      <c r="E144" s="78" t="e">
        <f t="shared" si="780"/>
        <v>#REF!</v>
      </c>
      <c r="F144" s="78">
        <f t="shared" si="780"/>
        <v>75</v>
      </c>
      <c r="G144" s="78">
        <f t="shared" si="780"/>
        <v>15</v>
      </c>
      <c r="H144" s="78" t="e">
        <f t="shared" si="780"/>
        <v>#REF!</v>
      </c>
      <c r="I144" s="78">
        <f t="shared" si="780"/>
        <v>114</v>
      </c>
      <c r="J144" s="78">
        <f t="shared" si="780"/>
        <v>0</v>
      </c>
      <c r="K144" s="78">
        <f t="shared" si="780"/>
        <v>114</v>
      </c>
      <c r="L144" s="78">
        <f t="shared" si="780"/>
        <v>105</v>
      </c>
      <c r="M144" s="78">
        <f t="shared" si="780"/>
        <v>10</v>
      </c>
      <c r="N144" s="78">
        <f t="shared" si="780"/>
        <v>115</v>
      </c>
      <c r="O144" s="78">
        <f t="shared" si="780"/>
        <v>1124</v>
      </c>
      <c r="P144" s="78">
        <f t="shared" si="780"/>
        <v>90</v>
      </c>
      <c r="Q144" s="78">
        <f t="shared" si="780"/>
        <v>1214</v>
      </c>
      <c r="R144" s="78">
        <f t="shared" si="780"/>
        <v>207.5</v>
      </c>
      <c r="S144" s="78">
        <f t="shared" si="780"/>
        <v>9.75</v>
      </c>
      <c r="T144" s="78">
        <f t="shared" si="780"/>
        <v>18.75</v>
      </c>
      <c r="U144" s="78">
        <f t="shared" si="780"/>
        <v>2.25</v>
      </c>
      <c r="V144" s="78">
        <f t="shared" si="780"/>
        <v>28.5</v>
      </c>
      <c r="W144" s="78">
        <f t="shared" si="780"/>
        <v>0</v>
      </c>
      <c r="X144" s="78">
        <f t="shared" si="780"/>
        <v>26.25</v>
      </c>
      <c r="Y144" s="114">
        <f t="shared" si="780"/>
        <v>1.5</v>
      </c>
      <c r="Z144" s="78">
        <f t="shared" si="780"/>
        <v>146.91</v>
      </c>
      <c r="AA144" s="78">
        <f t="shared" si="780"/>
        <v>3.9699999999999998</v>
      </c>
      <c r="AB144" s="78">
        <f t="shared" si="780"/>
        <v>12</v>
      </c>
      <c r="AC144" s="78">
        <f t="shared" si="780"/>
        <v>0.81</v>
      </c>
      <c r="AD144" s="78">
        <f t="shared" si="780"/>
        <v>18.240000000000002</v>
      </c>
      <c r="AE144" s="78">
        <f t="shared" si="780"/>
        <v>0</v>
      </c>
      <c r="AF144" s="78">
        <f t="shared" si="780"/>
        <v>0</v>
      </c>
      <c r="AG144" s="78">
        <f t="shared" si="780"/>
        <v>0</v>
      </c>
      <c r="AH144" s="78">
        <f t="shared" si="780"/>
        <v>60.589999999999996</v>
      </c>
      <c r="AI144" s="78">
        <f t="shared" si="780"/>
        <v>7.8000000000000007</v>
      </c>
      <c r="AJ144" s="78">
        <f t="shared" si="780"/>
        <v>6.75</v>
      </c>
      <c r="AK144" s="78">
        <f t="shared" si="780"/>
        <v>1.7999999999999998</v>
      </c>
      <c r="AL144" s="78">
        <f t="shared" si="780"/>
        <v>10.26</v>
      </c>
      <c r="AM144" s="78">
        <f t="shared" si="780"/>
        <v>0</v>
      </c>
      <c r="AN144" s="78">
        <f t="shared" si="780"/>
        <v>26.25</v>
      </c>
      <c r="AO144" s="78">
        <f t="shared" si="780"/>
        <v>1.8</v>
      </c>
      <c r="AP144" s="78">
        <f t="shared" si="780"/>
        <v>207.5</v>
      </c>
      <c r="AQ144" s="78">
        <f t="shared" si="780"/>
        <v>18.3</v>
      </c>
      <c r="AR144" s="78">
        <f t="shared" si="780"/>
        <v>18.75</v>
      </c>
      <c r="AS144" s="78">
        <f t="shared" si="780"/>
        <v>4.2299999999999995</v>
      </c>
      <c r="AT144" s="78">
        <f t="shared" si="780"/>
        <v>28.5</v>
      </c>
      <c r="AU144" s="78">
        <f t="shared" si="780"/>
        <v>0</v>
      </c>
      <c r="AV144" s="78">
        <f t="shared" si="780"/>
        <v>26.25</v>
      </c>
      <c r="AW144" s="78">
        <f t="shared" si="780"/>
        <v>2.82</v>
      </c>
      <c r="AX144" s="78">
        <f t="shared" si="780"/>
        <v>0</v>
      </c>
      <c r="AY144" s="78">
        <f t="shared" si="780"/>
        <v>0</v>
      </c>
      <c r="AZ144" s="78">
        <f t="shared" si="780"/>
        <v>622.5</v>
      </c>
      <c r="BA144" s="78">
        <f t="shared" si="780"/>
        <v>39.82</v>
      </c>
      <c r="BB144" s="78">
        <f t="shared" si="780"/>
        <v>56.25</v>
      </c>
      <c r="BC144" s="78">
        <f t="shared" si="780"/>
        <v>9.09</v>
      </c>
      <c r="BD144" s="78">
        <f t="shared" si="780"/>
        <v>85.5</v>
      </c>
      <c r="BE144" s="78">
        <f t="shared" si="780"/>
        <v>0</v>
      </c>
      <c r="BF144" s="78">
        <f t="shared" si="780"/>
        <v>78.75</v>
      </c>
      <c r="BG144" s="78">
        <f t="shared" si="780"/>
        <v>6.12</v>
      </c>
      <c r="BH144" s="78"/>
      <c r="BI144" s="78"/>
      <c r="BJ144" s="78"/>
      <c r="BK144" s="78"/>
      <c r="BL144" s="27" t="e">
        <f>ROUND(F144-#REF!,2)</f>
        <v>#REF!</v>
      </c>
      <c r="BM144" s="27" t="e">
        <f>ROUND(I144-#REF!,2)</f>
        <v>#REF!</v>
      </c>
    </row>
    <row r="145" spans="1:65" ht="20.100000000000001" customHeight="1" x14ac:dyDescent="0.3">
      <c r="A145" s="15">
        <v>6</v>
      </c>
      <c r="B145" s="16" t="s">
        <v>98</v>
      </c>
      <c r="C145" s="17">
        <v>1155</v>
      </c>
      <c r="D145" s="17">
        <v>80</v>
      </c>
      <c r="E145" s="19" t="e">
        <f>C145+D145+#REF!+#REF!</f>
        <v>#REF!</v>
      </c>
      <c r="F145" s="17">
        <v>0</v>
      </c>
      <c r="G145" s="28">
        <v>0</v>
      </c>
      <c r="H145" s="19" t="e">
        <f>F145+G145+#REF!</f>
        <v>#REF!</v>
      </c>
      <c r="I145" s="17">
        <v>88</v>
      </c>
      <c r="J145" s="17">
        <v>2</v>
      </c>
      <c r="K145" s="19">
        <f t="shared" si="755"/>
        <v>90</v>
      </c>
      <c r="L145" s="28">
        <v>113</v>
      </c>
      <c r="M145" s="28">
        <v>10</v>
      </c>
      <c r="N145" s="19">
        <f t="shared" si="682"/>
        <v>123</v>
      </c>
      <c r="O145" s="19">
        <f t="shared" ref="O145:P147" si="781">C145+F145+I145+L145</f>
        <v>1356</v>
      </c>
      <c r="P145" s="20">
        <f t="shared" si="781"/>
        <v>92</v>
      </c>
      <c r="Q145" s="19">
        <f t="shared" si="640"/>
        <v>1448</v>
      </c>
      <c r="R145" s="17">
        <f t="shared" si="757"/>
        <v>288.75</v>
      </c>
      <c r="S145" s="17">
        <f t="shared" si="758"/>
        <v>12</v>
      </c>
      <c r="T145" s="17">
        <f t="shared" si="759"/>
        <v>0</v>
      </c>
      <c r="U145" s="17">
        <f t="shared" si="760"/>
        <v>0</v>
      </c>
      <c r="V145" s="17">
        <f t="shared" si="761"/>
        <v>22</v>
      </c>
      <c r="W145" s="17">
        <f t="shared" si="762"/>
        <v>0.3</v>
      </c>
      <c r="X145" s="17">
        <f t="shared" si="763"/>
        <v>28.25</v>
      </c>
      <c r="Y145" s="113">
        <f t="shared" si="764"/>
        <v>1.5</v>
      </c>
      <c r="Z145" s="127">
        <f t="shared" si="768"/>
        <v>204.44</v>
      </c>
      <c r="AA145" s="127">
        <f>ROUND(D145*6.11%,2)+0.02</f>
        <v>4.9099999999999993</v>
      </c>
      <c r="AB145" s="127">
        <f t="shared" si="770"/>
        <v>0</v>
      </c>
      <c r="AC145" s="127">
        <f t="shared" si="771"/>
        <v>0</v>
      </c>
      <c r="AD145" s="127">
        <f t="shared" si="772"/>
        <v>14.08</v>
      </c>
      <c r="AE145" s="127">
        <f t="shared" si="773"/>
        <v>0.11</v>
      </c>
      <c r="AF145" s="127">
        <v>0</v>
      </c>
      <c r="AG145" s="127">
        <v>0</v>
      </c>
      <c r="AH145" s="127">
        <f t="shared" si="774"/>
        <v>84.32</v>
      </c>
      <c r="AI145" s="127">
        <f t="shared" si="775"/>
        <v>9.6</v>
      </c>
      <c r="AJ145" s="127">
        <f t="shared" si="776"/>
        <v>0</v>
      </c>
      <c r="AK145" s="127">
        <f t="shared" si="777"/>
        <v>0</v>
      </c>
      <c r="AL145" s="127">
        <f t="shared" si="656"/>
        <v>7.92</v>
      </c>
      <c r="AM145" s="127">
        <f>ROUND(J145*12%,2)+0.02</f>
        <v>0.26</v>
      </c>
      <c r="AN145" s="127">
        <f t="shared" si="658"/>
        <v>28.25</v>
      </c>
      <c r="AO145" s="127">
        <f t="shared" si="667"/>
        <v>1.8</v>
      </c>
      <c r="AP145" s="127">
        <f t="shared" si="659"/>
        <v>288.75</v>
      </c>
      <c r="AQ145" s="127">
        <f t="shared" si="660"/>
        <v>22.52</v>
      </c>
      <c r="AR145" s="127">
        <f t="shared" si="661"/>
        <v>0</v>
      </c>
      <c r="AS145" s="127">
        <f t="shared" si="662"/>
        <v>0</v>
      </c>
      <c r="AT145" s="127">
        <f t="shared" si="663"/>
        <v>22</v>
      </c>
      <c r="AU145" s="127">
        <f t="shared" si="765"/>
        <v>0.56000000000000005</v>
      </c>
      <c r="AV145" s="127">
        <f t="shared" si="665"/>
        <v>28.25</v>
      </c>
      <c r="AW145" s="127">
        <f t="shared" si="666"/>
        <v>2.82</v>
      </c>
      <c r="AX145" s="127"/>
      <c r="AY145" s="127"/>
      <c r="AZ145" s="127">
        <f t="shared" si="766"/>
        <v>866.26</v>
      </c>
      <c r="BA145" s="127">
        <f t="shared" si="726"/>
        <v>49.029999999999994</v>
      </c>
      <c r="BB145" s="127">
        <f t="shared" si="767"/>
        <v>0</v>
      </c>
      <c r="BC145" s="127">
        <f t="shared" si="767"/>
        <v>0</v>
      </c>
      <c r="BD145" s="127">
        <f t="shared" si="767"/>
        <v>66</v>
      </c>
      <c r="BE145" s="127">
        <f t="shared" si="742"/>
        <v>1.23</v>
      </c>
      <c r="BF145" s="127">
        <f t="shared" si="741"/>
        <v>84.75</v>
      </c>
      <c r="BG145" s="127">
        <f t="shared" si="741"/>
        <v>6.12</v>
      </c>
      <c r="BH145" s="2"/>
      <c r="BI145" s="2"/>
      <c r="BJ145" s="2"/>
      <c r="BK145" s="2"/>
      <c r="BL145" s="8" t="e">
        <f>ROUND(F145-#REF!,2)</f>
        <v>#REF!</v>
      </c>
      <c r="BM145" s="8" t="e">
        <f>ROUND(I145-#REF!,2)</f>
        <v>#REF!</v>
      </c>
    </row>
    <row r="146" spans="1:65" ht="20.100000000000001" customHeight="1" x14ac:dyDescent="0.3">
      <c r="A146" s="15">
        <v>7</v>
      </c>
      <c r="B146" s="16" t="s">
        <v>99</v>
      </c>
      <c r="C146" s="17">
        <v>150</v>
      </c>
      <c r="D146" s="17">
        <v>4</v>
      </c>
      <c r="E146" s="19" t="e">
        <f>C146+D146+#REF!+#REF!</f>
        <v>#REF!</v>
      </c>
      <c r="F146" s="17">
        <v>0</v>
      </c>
      <c r="G146" s="28">
        <v>0</v>
      </c>
      <c r="H146" s="19" t="e">
        <f>F146+G146+#REF!</f>
        <v>#REF!</v>
      </c>
      <c r="I146" s="17">
        <v>18</v>
      </c>
      <c r="J146" s="17">
        <v>0</v>
      </c>
      <c r="K146" s="19">
        <f t="shared" si="755"/>
        <v>18</v>
      </c>
      <c r="L146" s="28">
        <v>15</v>
      </c>
      <c r="M146" s="28">
        <v>0</v>
      </c>
      <c r="N146" s="19">
        <f t="shared" si="682"/>
        <v>15</v>
      </c>
      <c r="O146" s="19">
        <f t="shared" si="781"/>
        <v>183</v>
      </c>
      <c r="P146" s="20">
        <f t="shared" si="781"/>
        <v>4</v>
      </c>
      <c r="Q146" s="19">
        <f t="shared" si="640"/>
        <v>187</v>
      </c>
      <c r="R146" s="17">
        <f t="shared" si="757"/>
        <v>37.5</v>
      </c>
      <c r="S146" s="17">
        <f t="shared" si="758"/>
        <v>0.6</v>
      </c>
      <c r="T146" s="17">
        <f t="shared" si="759"/>
        <v>0</v>
      </c>
      <c r="U146" s="17">
        <f t="shared" si="760"/>
        <v>0</v>
      </c>
      <c r="V146" s="17">
        <f t="shared" si="761"/>
        <v>4.5</v>
      </c>
      <c r="W146" s="17">
        <f t="shared" si="762"/>
        <v>0</v>
      </c>
      <c r="X146" s="17">
        <f t="shared" si="763"/>
        <v>3.75</v>
      </c>
      <c r="Y146" s="113">
        <f t="shared" si="764"/>
        <v>0</v>
      </c>
      <c r="Z146" s="127">
        <f t="shared" si="768"/>
        <v>26.55</v>
      </c>
      <c r="AA146" s="127">
        <f t="shared" si="769"/>
        <v>0.24</v>
      </c>
      <c r="AB146" s="127">
        <f t="shared" si="770"/>
        <v>0</v>
      </c>
      <c r="AC146" s="127">
        <f t="shared" si="771"/>
        <v>0</v>
      </c>
      <c r="AD146" s="127">
        <f t="shared" si="772"/>
        <v>2.88</v>
      </c>
      <c r="AE146" s="127">
        <f t="shared" si="773"/>
        <v>0</v>
      </c>
      <c r="AF146" s="127">
        <v>0</v>
      </c>
      <c r="AG146" s="127">
        <v>0</v>
      </c>
      <c r="AH146" s="127">
        <f t="shared" si="774"/>
        <v>10.95</v>
      </c>
      <c r="AI146" s="127">
        <f t="shared" si="775"/>
        <v>0.48</v>
      </c>
      <c r="AJ146" s="127">
        <f t="shared" si="776"/>
        <v>0</v>
      </c>
      <c r="AK146" s="127">
        <f t="shared" si="777"/>
        <v>0</v>
      </c>
      <c r="AL146" s="127">
        <f t="shared" si="656"/>
        <v>1.62</v>
      </c>
      <c r="AM146" s="127">
        <f t="shared" si="778"/>
        <v>0</v>
      </c>
      <c r="AN146" s="127">
        <f t="shared" si="658"/>
        <v>3.75</v>
      </c>
      <c r="AO146" s="127">
        <f t="shared" si="667"/>
        <v>0</v>
      </c>
      <c r="AP146" s="127">
        <f t="shared" si="659"/>
        <v>37.5</v>
      </c>
      <c r="AQ146" s="127">
        <f t="shared" si="660"/>
        <v>1.1299999999999999</v>
      </c>
      <c r="AR146" s="127">
        <f t="shared" si="661"/>
        <v>0</v>
      </c>
      <c r="AS146" s="127">
        <f t="shared" si="662"/>
        <v>0</v>
      </c>
      <c r="AT146" s="127">
        <f t="shared" si="663"/>
        <v>4.5</v>
      </c>
      <c r="AU146" s="127">
        <f t="shared" si="765"/>
        <v>0</v>
      </c>
      <c r="AV146" s="127">
        <f t="shared" si="665"/>
        <v>3.75</v>
      </c>
      <c r="AW146" s="127">
        <f t="shared" si="666"/>
        <v>0</v>
      </c>
      <c r="AX146" s="127"/>
      <c r="AY146" s="127"/>
      <c r="AZ146" s="127">
        <f t="shared" si="766"/>
        <v>112.5</v>
      </c>
      <c r="BA146" s="127">
        <f t="shared" si="726"/>
        <v>2.4499999999999997</v>
      </c>
      <c r="BB146" s="127">
        <f t="shared" si="767"/>
        <v>0</v>
      </c>
      <c r="BC146" s="127">
        <f t="shared" si="767"/>
        <v>0</v>
      </c>
      <c r="BD146" s="127">
        <f t="shared" si="767"/>
        <v>13.5</v>
      </c>
      <c r="BE146" s="127">
        <f t="shared" si="742"/>
        <v>0</v>
      </c>
      <c r="BF146" s="127">
        <f t="shared" si="741"/>
        <v>11.25</v>
      </c>
      <c r="BG146" s="127">
        <f t="shared" si="741"/>
        <v>0</v>
      </c>
      <c r="BH146" s="2"/>
      <c r="BI146" s="2"/>
      <c r="BJ146" s="2"/>
      <c r="BK146" s="2"/>
      <c r="BL146" s="8" t="e">
        <f>ROUND(F146-#REF!,2)</f>
        <v>#REF!</v>
      </c>
      <c r="BM146" s="8" t="e">
        <f>ROUND(I146-#REF!,2)</f>
        <v>#REF!</v>
      </c>
    </row>
    <row r="147" spans="1:65" ht="20.100000000000001" customHeight="1" x14ac:dyDescent="0.3">
      <c r="A147" s="15">
        <v>8</v>
      </c>
      <c r="B147" s="16" t="s">
        <v>100</v>
      </c>
      <c r="C147" s="17">
        <v>140</v>
      </c>
      <c r="D147" s="17">
        <v>10</v>
      </c>
      <c r="E147" s="19" t="e">
        <f>C147+D147+#REF!+#REF!</f>
        <v>#REF!</v>
      </c>
      <c r="F147" s="17">
        <v>0</v>
      </c>
      <c r="G147" s="28">
        <v>0</v>
      </c>
      <c r="H147" s="19" t="e">
        <f>F147+G147+#REF!</f>
        <v>#REF!</v>
      </c>
      <c r="I147" s="17">
        <v>65</v>
      </c>
      <c r="J147" s="17">
        <v>0</v>
      </c>
      <c r="K147" s="19">
        <f t="shared" si="755"/>
        <v>65</v>
      </c>
      <c r="L147" s="28">
        <v>26</v>
      </c>
      <c r="M147" s="28">
        <v>0</v>
      </c>
      <c r="N147" s="19">
        <f t="shared" si="682"/>
        <v>26</v>
      </c>
      <c r="O147" s="19">
        <f t="shared" si="781"/>
        <v>231</v>
      </c>
      <c r="P147" s="20">
        <f t="shared" si="781"/>
        <v>10</v>
      </c>
      <c r="Q147" s="19">
        <f t="shared" si="640"/>
        <v>241</v>
      </c>
      <c r="R147" s="17">
        <f t="shared" si="757"/>
        <v>35</v>
      </c>
      <c r="S147" s="17">
        <f t="shared" si="758"/>
        <v>1.5</v>
      </c>
      <c r="T147" s="17">
        <f t="shared" si="759"/>
        <v>0</v>
      </c>
      <c r="U147" s="17">
        <f t="shared" si="760"/>
        <v>0</v>
      </c>
      <c r="V147" s="17">
        <f t="shared" si="761"/>
        <v>16.25</v>
      </c>
      <c r="W147" s="17">
        <f t="shared" si="762"/>
        <v>0</v>
      </c>
      <c r="X147" s="17">
        <f t="shared" si="763"/>
        <v>6.5</v>
      </c>
      <c r="Y147" s="113">
        <f t="shared" si="764"/>
        <v>0</v>
      </c>
      <c r="Z147" s="127">
        <f t="shared" si="768"/>
        <v>24.78</v>
      </c>
      <c r="AA147" s="127">
        <f t="shared" si="769"/>
        <v>0.61</v>
      </c>
      <c r="AB147" s="127">
        <f t="shared" si="770"/>
        <v>0</v>
      </c>
      <c r="AC147" s="127">
        <f t="shared" si="771"/>
        <v>0</v>
      </c>
      <c r="AD147" s="127">
        <f t="shared" si="772"/>
        <v>10.4</v>
      </c>
      <c r="AE147" s="127">
        <f t="shared" si="773"/>
        <v>0</v>
      </c>
      <c r="AF147" s="127">
        <v>0</v>
      </c>
      <c r="AG147" s="127">
        <v>0</v>
      </c>
      <c r="AH147" s="127">
        <f t="shared" si="774"/>
        <v>10.220000000000001</v>
      </c>
      <c r="AI147" s="127">
        <f t="shared" si="775"/>
        <v>1.2</v>
      </c>
      <c r="AJ147" s="127">
        <f t="shared" si="776"/>
        <v>0</v>
      </c>
      <c r="AK147" s="127">
        <f t="shared" si="777"/>
        <v>0</v>
      </c>
      <c r="AL147" s="127">
        <f t="shared" si="656"/>
        <v>5.85</v>
      </c>
      <c r="AM147" s="127">
        <f t="shared" si="778"/>
        <v>0</v>
      </c>
      <c r="AN147" s="127">
        <f t="shared" si="658"/>
        <v>6.5</v>
      </c>
      <c r="AO147" s="127">
        <f t="shared" si="667"/>
        <v>0</v>
      </c>
      <c r="AP147" s="127">
        <f t="shared" si="659"/>
        <v>35</v>
      </c>
      <c r="AQ147" s="127">
        <f t="shared" si="660"/>
        <v>2.82</v>
      </c>
      <c r="AR147" s="127">
        <f t="shared" si="661"/>
        <v>0</v>
      </c>
      <c r="AS147" s="127">
        <f t="shared" si="662"/>
        <v>0</v>
      </c>
      <c r="AT147" s="127">
        <f t="shared" si="663"/>
        <v>16.25</v>
      </c>
      <c r="AU147" s="127">
        <f t="shared" si="765"/>
        <v>0</v>
      </c>
      <c r="AV147" s="127">
        <f t="shared" si="665"/>
        <v>6.5</v>
      </c>
      <c r="AW147" s="127">
        <f t="shared" si="666"/>
        <v>0</v>
      </c>
      <c r="AX147" s="127"/>
      <c r="AY147" s="127"/>
      <c r="AZ147" s="127">
        <f t="shared" si="766"/>
        <v>105</v>
      </c>
      <c r="BA147" s="127">
        <f t="shared" si="726"/>
        <v>6.13</v>
      </c>
      <c r="BB147" s="127">
        <f t="shared" si="767"/>
        <v>0</v>
      </c>
      <c r="BC147" s="127">
        <f t="shared" si="767"/>
        <v>0</v>
      </c>
      <c r="BD147" s="127">
        <f t="shared" si="767"/>
        <v>48.75</v>
      </c>
      <c r="BE147" s="127">
        <f t="shared" si="742"/>
        <v>0</v>
      </c>
      <c r="BF147" s="127">
        <f t="shared" si="741"/>
        <v>19.5</v>
      </c>
      <c r="BG147" s="127">
        <f t="shared" si="741"/>
        <v>0</v>
      </c>
      <c r="BH147" s="2"/>
      <c r="BI147" s="2"/>
      <c r="BJ147" s="2"/>
      <c r="BK147" s="2"/>
    </row>
    <row r="148" spans="1:65" s="6" customFormat="1" ht="20.100000000000001" customHeight="1" x14ac:dyDescent="0.3">
      <c r="A148" s="76"/>
      <c r="B148" s="77" t="s">
        <v>98</v>
      </c>
      <c r="C148" s="78">
        <f>+C145+C146+C147</f>
        <v>1445</v>
      </c>
      <c r="D148" s="78">
        <f t="shared" ref="D148:BG148" si="782">+D145+D146+D147</f>
        <v>94</v>
      </c>
      <c r="E148" s="78" t="e">
        <f t="shared" si="782"/>
        <v>#REF!</v>
      </c>
      <c r="F148" s="78">
        <f t="shared" si="782"/>
        <v>0</v>
      </c>
      <c r="G148" s="78">
        <f t="shared" si="782"/>
        <v>0</v>
      </c>
      <c r="H148" s="78" t="e">
        <f t="shared" si="782"/>
        <v>#REF!</v>
      </c>
      <c r="I148" s="78">
        <f t="shared" si="782"/>
        <v>171</v>
      </c>
      <c r="J148" s="78">
        <f t="shared" si="782"/>
        <v>2</v>
      </c>
      <c r="K148" s="78">
        <f t="shared" si="782"/>
        <v>173</v>
      </c>
      <c r="L148" s="78">
        <f t="shared" si="782"/>
        <v>154</v>
      </c>
      <c r="M148" s="78">
        <f t="shared" si="782"/>
        <v>10</v>
      </c>
      <c r="N148" s="78">
        <f t="shared" si="782"/>
        <v>164</v>
      </c>
      <c r="O148" s="78">
        <f t="shared" si="782"/>
        <v>1770</v>
      </c>
      <c r="P148" s="78">
        <f t="shared" si="782"/>
        <v>106</v>
      </c>
      <c r="Q148" s="78">
        <f t="shared" si="782"/>
        <v>1876</v>
      </c>
      <c r="R148" s="78">
        <f t="shared" si="782"/>
        <v>361.25</v>
      </c>
      <c r="S148" s="78">
        <f t="shared" si="782"/>
        <v>14.1</v>
      </c>
      <c r="T148" s="78">
        <f t="shared" si="782"/>
        <v>0</v>
      </c>
      <c r="U148" s="78">
        <f t="shared" si="782"/>
        <v>0</v>
      </c>
      <c r="V148" s="78">
        <f t="shared" si="782"/>
        <v>42.75</v>
      </c>
      <c r="W148" s="78">
        <f t="shared" si="782"/>
        <v>0.3</v>
      </c>
      <c r="X148" s="78">
        <f t="shared" si="782"/>
        <v>38.5</v>
      </c>
      <c r="Y148" s="114">
        <f t="shared" si="782"/>
        <v>1.5</v>
      </c>
      <c r="Z148" s="78">
        <f t="shared" si="782"/>
        <v>255.77</v>
      </c>
      <c r="AA148" s="78">
        <f t="shared" si="782"/>
        <v>5.76</v>
      </c>
      <c r="AB148" s="78">
        <f t="shared" si="782"/>
        <v>0</v>
      </c>
      <c r="AC148" s="78">
        <f t="shared" si="782"/>
        <v>0</v>
      </c>
      <c r="AD148" s="78">
        <f t="shared" si="782"/>
        <v>27.36</v>
      </c>
      <c r="AE148" s="78">
        <f t="shared" si="782"/>
        <v>0.11</v>
      </c>
      <c r="AF148" s="78">
        <f t="shared" si="782"/>
        <v>0</v>
      </c>
      <c r="AG148" s="78">
        <f t="shared" si="782"/>
        <v>0</v>
      </c>
      <c r="AH148" s="78">
        <f t="shared" si="782"/>
        <v>105.49</v>
      </c>
      <c r="AI148" s="78">
        <f t="shared" si="782"/>
        <v>11.28</v>
      </c>
      <c r="AJ148" s="78">
        <f t="shared" si="782"/>
        <v>0</v>
      </c>
      <c r="AK148" s="78">
        <f t="shared" si="782"/>
        <v>0</v>
      </c>
      <c r="AL148" s="78">
        <f t="shared" si="782"/>
        <v>15.389999999999999</v>
      </c>
      <c r="AM148" s="78">
        <f t="shared" si="782"/>
        <v>0.26</v>
      </c>
      <c r="AN148" s="78">
        <f t="shared" si="782"/>
        <v>38.5</v>
      </c>
      <c r="AO148" s="78">
        <f t="shared" si="782"/>
        <v>1.8</v>
      </c>
      <c r="AP148" s="78">
        <f t="shared" si="782"/>
        <v>361.25</v>
      </c>
      <c r="AQ148" s="78">
        <f t="shared" si="782"/>
        <v>26.47</v>
      </c>
      <c r="AR148" s="78">
        <f t="shared" si="782"/>
        <v>0</v>
      </c>
      <c r="AS148" s="78">
        <f t="shared" si="782"/>
        <v>0</v>
      </c>
      <c r="AT148" s="78">
        <f t="shared" si="782"/>
        <v>42.75</v>
      </c>
      <c r="AU148" s="78">
        <f t="shared" si="782"/>
        <v>0.56000000000000005</v>
      </c>
      <c r="AV148" s="78">
        <f t="shared" si="782"/>
        <v>38.5</v>
      </c>
      <c r="AW148" s="78">
        <f t="shared" si="782"/>
        <v>2.82</v>
      </c>
      <c r="AX148" s="78">
        <f t="shared" si="782"/>
        <v>0</v>
      </c>
      <c r="AY148" s="78">
        <f t="shared" si="782"/>
        <v>0</v>
      </c>
      <c r="AZ148" s="78">
        <f t="shared" si="782"/>
        <v>1083.76</v>
      </c>
      <c r="BA148" s="78">
        <f t="shared" si="782"/>
        <v>57.61</v>
      </c>
      <c r="BB148" s="78">
        <f t="shared" si="782"/>
        <v>0</v>
      </c>
      <c r="BC148" s="78">
        <f t="shared" si="782"/>
        <v>0</v>
      </c>
      <c r="BD148" s="78">
        <f t="shared" si="782"/>
        <v>128.25</v>
      </c>
      <c r="BE148" s="78">
        <f t="shared" si="782"/>
        <v>1.23</v>
      </c>
      <c r="BF148" s="78">
        <f t="shared" si="782"/>
        <v>115.5</v>
      </c>
      <c r="BG148" s="78">
        <f t="shared" si="782"/>
        <v>6.12</v>
      </c>
      <c r="BH148" s="78"/>
      <c r="BI148" s="78"/>
      <c r="BJ148" s="78"/>
      <c r="BK148" s="78"/>
    </row>
    <row r="149" spans="1:65" ht="20.100000000000001" customHeight="1" x14ac:dyDescent="0.3">
      <c r="A149" s="15">
        <v>9</v>
      </c>
      <c r="B149" s="16" t="s">
        <v>101</v>
      </c>
      <c r="C149" s="17">
        <v>4260</v>
      </c>
      <c r="D149" s="17">
        <v>540</v>
      </c>
      <c r="E149" s="19" t="e">
        <f>C149+D149+#REF!+#REF!</f>
        <v>#REF!</v>
      </c>
      <c r="F149" s="17">
        <v>115</v>
      </c>
      <c r="G149" s="28">
        <v>25</v>
      </c>
      <c r="H149" s="19" t="e">
        <f>F149+G149+#REF!</f>
        <v>#REF!</v>
      </c>
      <c r="I149" s="17">
        <v>90</v>
      </c>
      <c r="J149" s="17">
        <v>3</v>
      </c>
      <c r="K149" s="19">
        <f t="shared" si="755"/>
        <v>93</v>
      </c>
      <c r="L149" s="28">
        <v>400</v>
      </c>
      <c r="M149" s="28">
        <v>40</v>
      </c>
      <c r="N149" s="19">
        <f t="shared" si="682"/>
        <v>440</v>
      </c>
      <c r="O149" s="19">
        <f t="shared" ref="O149:O157" si="783">C149+F149+I149+L149</f>
        <v>4865</v>
      </c>
      <c r="P149" s="20">
        <f t="shared" ref="P149:P157" si="784">D149+G149+J149+M149</f>
        <v>608</v>
      </c>
      <c r="Q149" s="19">
        <f t="shared" si="640"/>
        <v>5473</v>
      </c>
      <c r="R149" s="17">
        <f t="shared" si="757"/>
        <v>1065</v>
      </c>
      <c r="S149" s="17">
        <f t="shared" si="758"/>
        <v>81</v>
      </c>
      <c r="T149" s="17">
        <f t="shared" si="759"/>
        <v>28.75</v>
      </c>
      <c r="U149" s="17">
        <f t="shared" si="760"/>
        <v>3.75</v>
      </c>
      <c r="V149" s="17">
        <f t="shared" si="761"/>
        <v>22.5</v>
      </c>
      <c r="W149" s="17">
        <f t="shared" si="762"/>
        <v>0.45</v>
      </c>
      <c r="X149" s="17">
        <f t="shared" si="763"/>
        <v>100</v>
      </c>
      <c r="Y149" s="113">
        <f t="shared" si="764"/>
        <v>6</v>
      </c>
      <c r="Z149" s="127">
        <f>ROUND(C149*17.7%,2)-0.1</f>
        <v>753.92</v>
      </c>
      <c r="AA149" s="127">
        <f>ROUND(D149*6.11%,2)+0.05</f>
        <v>33.04</v>
      </c>
      <c r="AB149" s="127">
        <f t="shared" si="770"/>
        <v>18.399999999999999</v>
      </c>
      <c r="AC149" s="127">
        <f t="shared" si="771"/>
        <v>1.35</v>
      </c>
      <c r="AD149" s="127">
        <f t="shared" si="772"/>
        <v>14.4</v>
      </c>
      <c r="AE149" s="127">
        <f t="shared" si="773"/>
        <v>0.16</v>
      </c>
      <c r="AF149" s="127">
        <v>0</v>
      </c>
      <c r="AG149" s="127">
        <v>0</v>
      </c>
      <c r="AH149" s="127">
        <f>ROUND(C149*7.3%,2)+0.12</f>
        <v>311.10000000000002</v>
      </c>
      <c r="AI149" s="127">
        <f>ROUND(D149*12%,2)-2</f>
        <v>62.8</v>
      </c>
      <c r="AJ149" s="127">
        <f t="shared" si="776"/>
        <v>10.35</v>
      </c>
      <c r="AK149" s="127">
        <f>ROUND(G149*12%,2)+0.5</f>
        <v>3.5</v>
      </c>
      <c r="AL149" s="127">
        <f t="shared" si="656"/>
        <v>8.1</v>
      </c>
      <c r="AM149" s="127">
        <f>ROUND(J149*12%,2)+0.05</f>
        <v>0.41</v>
      </c>
      <c r="AN149" s="127">
        <f t="shared" si="658"/>
        <v>100</v>
      </c>
      <c r="AO149" s="127">
        <f>ROUND(M149*18%,2)-0.2</f>
        <v>7</v>
      </c>
      <c r="AP149" s="127">
        <f t="shared" si="659"/>
        <v>1065</v>
      </c>
      <c r="AQ149" s="127">
        <f t="shared" si="660"/>
        <v>152.01</v>
      </c>
      <c r="AR149" s="127">
        <f t="shared" si="661"/>
        <v>28.75</v>
      </c>
      <c r="AS149" s="127">
        <f t="shared" si="662"/>
        <v>7.04</v>
      </c>
      <c r="AT149" s="127">
        <f t="shared" si="663"/>
        <v>22.5</v>
      </c>
      <c r="AU149" s="127">
        <f t="shared" si="765"/>
        <v>0.84</v>
      </c>
      <c r="AV149" s="127">
        <f t="shared" si="665"/>
        <v>100</v>
      </c>
      <c r="AW149" s="127">
        <f t="shared" si="666"/>
        <v>11.26</v>
      </c>
      <c r="AX149" s="127"/>
      <c r="AY149" s="127"/>
      <c r="AZ149" s="127">
        <f t="shared" si="766"/>
        <v>3195.02</v>
      </c>
      <c r="BA149" s="127">
        <f t="shared" si="726"/>
        <v>328.85</v>
      </c>
      <c r="BB149" s="127">
        <f t="shared" si="767"/>
        <v>86.25</v>
      </c>
      <c r="BC149" s="127">
        <f t="shared" si="767"/>
        <v>15.639999999999999</v>
      </c>
      <c r="BD149" s="127">
        <f t="shared" si="767"/>
        <v>67.5</v>
      </c>
      <c r="BE149" s="127">
        <f t="shared" si="742"/>
        <v>1.8599999999999999</v>
      </c>
      <c r="BF149" s="127">
        <f t="shared" si="741"/>
        <v>300</v>
      </c>
      <c r="BG149" s="127">
        <f t="shared" si="741"/>
        <v>24.259999999999998</v>
      </c>
      <c r="BH149" s="2"/>
      <c r="BI149" s="2"/>
      <c r="BJ149" s="2"/>
      <c r="BK149" s="2"/>
    </row>
    <row r="150" spans="1:65" ht="20.100000000000001" customHeight="1" x14ac:dyDescent="0.3">
      <c r="A150" s="15">
        <v>10</v>
      </c>
      <c r="B150" s="16" t="s">
        <v>102</v>
      </c>
      <c r="C150" s="17">
        <v>95</v>
      </c>
      <c r="D150" s="17">
        <v>8</v>
      </c>
      <c r="E150" s="19" t="e">
        <f>C150+D150+#REF!+#REF!</f>
        <v>#REF!</v>
      </c>
      <c r="F150" s="17">
        <v>0</v>
      </c>
      <c r="G150" s="28">
        <v>0</v>
      </c>
      <c r="H150" s="19" t="e">
        <f>F150+G150+#REF!</f>
        <v>#REF!</v>
      </c>
      <c r="I150" s="17">
        <v>0</v>
      </c>
      <c r="J150" s="17">
        <v>0</v>
      </c>
      <c r="K150" s="19">
        <f t="shared" si="755"/>
        <v>0</v>
      </c>
      <c r="L150" s="28">
        <v>10</v>
      </c>
      <c r="M150" s="28">
        <v>0</v>
      </c>
      <c r="N150" s="19">
        <f t="shared" si="682"/>
        <v>10</v>
      </c>
      <c r="O150" s="19">
        <f t="shared" si="783"/>
        <v>105</v>
      </c>
      <c r="P150" s="20">
        <f t="shared" si="784"/>
        <v>8</v>
      </c>
      <c r="Q150" s="19">
        <f t="shared" si="640"/>
        <v>113</v>
      </c>
      <c r="R150" s="17">
        <f t="shared" si="757"/>
        <v>23.75</v>
      </c>
      <c r="S150" s="17">
        <f t="shared" si="758"/>
        <v>1.2</v>
      </c>
      <c r="T150" s="17">
        <f t="shared" si="759"/>
        <v>0</v>
      </c>
      <c r="U150" s="17">
        <f t="shared" si="760"/>
        <v>0</v>
      </c>
      <c r="V150" s="17">
        <f t="shared" si="761"/>
        <v>0</v>
      </c>
      <c r="W150" s="17">
        <f t="shared" si="762"/>
        <v>0</v>
      </c>
      <c r="X150" s="17">
        <f t="shared" si="763"/>
        <v>2.5</v>
      </c>
      <c r="Y150" s="113">
        <f t="shared" si="764"/>
        <v>0</v>
      </c>
      <c r="Z150" s="127">
        <f t="shared" si="768"/>
        <v>16.82</v>
      </c>
      <c r="AA150" s="127">
        <f t="shared" si="769"/>
        <v>0.49</v>
      </c>
      <c r="AB150" s="127">
        <f t="shared" si="770"/>
        <v>0</v>
      </c>
      <c r="AC150" s="127">
        <f t="shared" si="771"/>
        <v>0</v>
      </c>
      <c r="AD150" s="127">
        <f t="shared" si="772"/>
        <v>0</v>
      </c>
      <c r="AE150" s="127">
        <f t="shared" si="773"/>
        <v>0</v>
      </c>
      <c r="AF150" s="127">
        <v>0</v>
      </c>
      <c r="AG150" s="127">
        <v>0</v>
      </c>
      <c r="AH150" s="127">
        <f t="shared" si="774"/>
        <v>6.94</v>
      </c>
      <c r="AI150" s="127">
        <f t="shared" si="775"/>
        <v>0.96</v>
      </c>
      <c r="AJ150" s="127">
        <f t="shared" si="776"/>
        <v>0</v>
      </c>
      <c r="AK150" s="127">
        <f t="shared" si="777"/>
        <v>0</v>
      </c>
      <c r="AL150" s="127">
        <f t="shared" si="656"/>
        <v>0</v>
      </c>
      <c r="AM150" s="127">
        <f t="shared" si="778"/>
        <v>0</v>
      </c>
      <c r="AN150" s="127">
        <f t="shared" si="658"/>
        <v>2.5</v>
      </c>
      <c r="AO150" s="127">
        <f t="shared" si="667"/>
        <v>0</v>
      </c>
      <c r="AP150" s="127">
        <f t="shared" si="659"/>
        <v>23.75</v>
      </c>
      <c r="AQ150" s="127">
        <f t="shared" si="660"/>
        <v>2.25</v>
      </c>
      <c r="AR150" s="127">
        <f t="shared" si="661"/>
        <v>0</v>
      </c>
      <c r="AS150" s="127">
        <f t="shared" si="662"/>
        <v>0</v>
      </c>
      <c r="AT150" s="127">
        <f t="shared" si="663"/>
        <v>0</v>
      </c>
      <c r="AU150" s="127">
        <f t="shared" si="765"/>
        <v>0</v>
      </c>
      <c r="AV150" s="127">
        <f t="shared" si="665"/>
        <v>2.5</v>
      </c>
      <c r="AW150" s="127">
        <f t="shared" si="666"/>
        <v>0</v>
      </c>
      <c r="AX150" s="127"/>
      <c r="AY150" s="127"/>
      <c r="AZ150" s="127">
        <f t="shared" si="766"/>
        <v>71.260000000000005</v>
      </c>
      <c r="BA150" s="127">
        <f t="shared" si="726"/>
        <v>4.9000000000000004</v>
      </c>
      <c r="BB150" s="127">
        <f t="shared" si="767"/>
        <v>0</v>
      </c>
      <c r="BC150" s="127">
        <f t="shared" si="767"/>
        <v>0</v>
      </c>
      <c r="BD150" s="127">
        <f t="shared" si="767"/>
        <v>0</v>
      </c>
      <c r="BE150" s="127">
        <f t="shared" si="742"/>
        <v>0</v>
      </c>
      <c r="BF150" s="127">
        <f t="shared" si="741"/>
        <v>7.5</v>
      </c>
      <c r="BG150" s="127">
        <f t="shared" si="741"/>
        <v>0</v>
      </c>
      <c r="BH150" s="2"/>
      <c r="BI150" s="2"/>
      <c r="BJ150" s="2"/>
      <c r="BK150" s="2"/>
    </row>
    <row r="151" spans="1:65" ht="20.100000000000001" customHeight="1" x14ac:dyDescent="0.3">
      <c r="A151" s="15">
        <v>11</v>
      </c>
      <c r="B151" s="16" t="s">
        <v>103</v>
      </c>
      <c r="C151" s="17">
        <v>140</v>
      </c>
      <c r="D151" s="17">
        <v>5</v>
      </c>
      <c r="E151" s="19" t="e">
        <f>C151+D151+#REF!+#REF!</f>
        <v>#REF!</v>
      </c>
      <c r="F151" s="17">
        <v>0</v>
      </c>
      <c r="G151" s="28">
        <v>0</v>
      </c>
      <c r="H151" s="19" t="e">
        <f>F151+G151+#REF!</f>
        <v>#REF!</v>
      </c>
      <c r="I151" s="17">
        <v>0</v>
      </c>
      <c r="J151" s="17">
        <v>0</v>
      </c>
      <c r="K151" s="19">
        <f t="shared" si="755"/>
        <v>0</v>
      </c>
      <c r="L151" s="28">
        <v>10</v>
      </c>
      <c r="M151" s="28">
        <v>0</v>
      </c>
      <c r="N151" s="19">
        <f t="shared" si="682"/>
        <v>10</v>
      </c>
      <c r="O151" s="19">
        <f t="shared" si="783"/>
        <v>150</v>
      </c>
      <c r="P151" s="20">
        <f t="shared" si="784"/>
        <v>5</v>
      </c>
      <c r="Q151" s="19">
        <f t="shared" si="640"/>
        <v>155</v>
      </c>
      <c r="R151" s="17">
        <f t="shared" si="757"/>
        <v>35</v>
      </c>
      <c r="S151" s="17">
        <f t="shared" si="758"/>
        <v>0.75</v>
      </c>
      <c r="T151" s="17">
        <f t="shared" si="759"/>
        <v>0</v>
      </c>
      <c r="U151" s="17">
        <f t="shared" si="760"/>
        <v>0</v>
      </c>
      <c r="V151" s="17">
        <f t="shared" si="761"/>
        <v>0</v>
      </c>
      <c r="W151" s="17">
        <f t="shared" si="762"/>
        <v>0</v>
      </c>
      <c r="X151" s="17">
        <f t="shared" si="763"/>
        <v>2.5</v>
      </c>
      <c r="Y151" s="113">
        <f t="shared" si="764"/>
        <v>0</v>
      </c>
      <c r="Z151" s="127">
        <f t="shared" si="768"/>
        <v>24.78</v>
      </c>
      <c r="AA151" s="127">
        <f t="shared" si="769"/>
        <v>0.31</v>
      </c>
      <c r="AB151" s="127">
        <f t="shared" si="770"/>
        <v>0</v>
      </c>
      <c r="AC151" s="127">
        <f t="shared" si="771"/>
        <v>0</v>
      </c>
      <c r="AD151" s="127">
        <f t="shared" si="772"/>
        <v>0</v>
      </c>
      <c r="AE151" s="127">
        <f t="shared" si="773"/>
        <v>0</v>
      </c>
      <c r="AF151" s="127">
        <v>0</v>
      </c>
      <c r="AG151" s="127">
        <v>0</v>
      </c>
      <c r="AH151" s="127">
        <f t="shared" si="774"/>
        <v>10.220000000000001</v>
      </c>
      <c r="AI151" s="127">
        <f t="shared" si="775"/>
        <v>0.6</v>
      </c>
      <c r="AJ151" s="127">
        <f t="shared" si="776"/>
        <v>0</v>
      </c>
      <c r="AK151" s="127">
        <f t="shared" si="777"/>
        <v>0</v>
      </c>
      <c r="AL151" s="127">
        <f t="shared" si="656"/>
        <v>0</v>
      </c>
      <c r="AM151" s="127">
        <f t="shared" si="778"/>
        <v>0</v>
      </c>
      <c r="AN151" s="127">
        <f t="shared" si="658"/>
        <v>2.5</v>
      </c>
      <c r="AO151" s="127">
        <f t="shared" si="667"/>
        <v>0</v>
      </c>
      <c r="AP151" s="127">
        <f t="shared" si="659"/>
        <v>35</v>
      </c>
      <c r="AQ151" s="127">
        <f t="shared" si="660"/>
        <v>1.41</v>
      </c>
      <c r="AR151" s="127">
        <f t="shared" si="661"/>
        <v>0</v>
      </c>
      <c r="AS151" s="127">
        <f t="shared" si="662"/>
        <v>0</v>
      </c>
      <c r="AT151" s="127">
        <f t="shared" si="663"/>
        <v>0</v>
      </c>
      <c r="AU151" s="127">
        <f t="shared" si="765"/>
        <v>0</v>
      </c>
      <c r="AV151" s="127">
        <f t="shared" si="665"/>
        <v>2.5</v>
      </c>
      <c r="AW151" s="127">
        <f t="shared" si="666"/>
        <v>0</v>
      </c>
      <c r="AX151" s="127"/>
      <c r="AY151" s="127"/>
      <c r="AZ151" s="127">
        <f t="shared" si="766"/>
        <v>105</v>
      </c>
      <c r="BA151" s="127">
        <f t="shared" si="726"/>
        <v>3.07</v>
      </c>
      <c r="BB151" s="127">
        <f t="shared" si="767"/>
        <v>0</v>
      </c>
      <c r="BC151" s="127">
        <f t="shared" si="767"/>
        <v>0</v>
      </c>
      <c r="BD151" s="127">
        <f t="shared" si="767"/>
        <v>0</v>
      </c>
      <c r="BE151" s="127">
        <f t="shared" si="742"/>
        <v>0</v>
      </c>
      <c r="BF151" s="127">
        <f t="shared" si="741"/>
        <v>7.5</v>
      </c>
      <c r="BG151" s="127">
        <f t="shared" si="741"/>
        <v>0</v>
      </c>
      <c r="BH151" s="2"/>
      <c r="BI151" s="2"/>
      <c r="BJ151" s="2"/>
      <c r="BK151" s="2"/>
    </row>
    <row r="152" spans="1:65" ht="20.100000000000001" customHeight="1" x14ac:dyDescent="0.3">
      <c r="A152" s="15">
        <v>12</v>
      </c>
      <c r="B152" s="16" t="s">
        <v>104</v>
      </c>
      <c r="C152" s="17">
        <v>70</v>
      </c>
      <c r="D152" s="17">
        <v>5</v>
      </c>
      <c r="E152" s="19" t="e">
        <f>C152+D152+#REF!+#REF!</f>
        <v>#REF!</v>
      </c>
      <c r="F152" s="17">
        <v>0</v>
      </c>
      <c r="G152" s="28">
        <v>0</v>
      </c>
      <c r="H152" s="19" t="e">
        <f>F152+G152+#REF!</f>
        <v>#REF!</v>
      </c>
      <c r="I152" s="17">
        <v>0</v>
      </c>
      <c r="J152" s="17">
        <v>0</v>
      </c>
      <c r="K152" s="19">
        <f t="shared" si="755"/>
        <v>0</v>
      </c>
      <c r="L152" s="28">
        <v>10</v>
      </c>
      <c r="M152" s="28">
        <v>0</v>
      </c>
      <c r="N152" s="19">
        <f t="shared" si="682"/>
        <v>10</v>
      </c>
      <c r="O152" s="19">
        <f t="shared" si="783"/>
        <v>80</v>
      </c>
      <c r="P152" s="20">
        <f t="shared" si="784"/>
        <v>5</v>
      </c>
      <c r="Q152" s="19">
        <f t="shared" si="640"/>
        <v>85</v>
      </c>
      <c r="R152" s="17">
        <f t="shared" si="757"/>
        <v>17.5</v>
      </c>
      <c r="S152" s="17">
        <f t="shared" si="758"/>
        <v>0.75</v>
      </c>
      <c r="T152" s="17">
        <f t="shared" si="759"/>
        <v>0</v>
      </c>
      <c r="U152" s="17">
        <f t="shared" si="760"/>
        <v>0</v>
      </c>
      <c r="V152" s="17">
        <f t="shared" si="761"/>
        <v>0</v>
      </c>
      <c r="W152" s="17">
        <f t="shared" si="762"/>
        <v>0</v>
      </c>
      <c r="X152" s="17">
        <f t="shared" si="763"/>
        <v>2.5</v>
      </c>
      <c r="Y152" s="113">
        <f t="shared" si="764"/>
        <v>0</v>
      </c>
      <c r="Z152" s="127">
        <f t="shared" si="768"/>
        <v>12.39</v>
      </c>
      <c r="AA152" s="127">
        <f t="shared" si="769"/>
        <v>0.31</v>
      </c>
      <c r="AB152" s="127">
        <f t="shared" si="770"/>
        <v>0</v>
      </c>
      <c r="AC152" s="127">
        <f t="shared" si="771"/>
        <v>0</v>
      </c>
      <c r="AD152" s="127">
        <f t="shared" si="772"/>
        <v>0</v>
      </c>
      <c r="AE152" s="127">
        <f t="shared" si="773"/>
        <v>0</v>
      </c>
      <c r="AF152" s="127">
        <v>0</v>
      </c>
      <c r="AG152" s="127">
        <v>0</v>
      </c>
      <c r="AH152" s="127">
        <f t="shared" si="774"/>
        <v>5.1100000000000003</v>
      </c>
      <c r="AI152" s="127">
        <f t="shared" si="775"/>
        <v>0.6</v>
      </c>
      <c r="AJ152" s="127">
        <f t="shared" si="776"/>
        <v>0</v>
      </c>
      <c r="AK152" s="127">
        <f t="shared" si="777"/>
        <v>0</v>
      </c>
      <c r="AL152" s="127">
        <f t="shared" si="656"/>
        <v>0</v>
      </c>
      <c r="AM152" s="127">
        <f t="shared" si="778"/>
        <v>0</v>
      </c>
      <c r="AN152" s="127">
        <f t="shared" si="658"/>
        <v>2.5</v>
      </c>
      <c r="AO152" s="127">
        <f t="shared" si="667"/>
        <v>0</v>
      </c>
      <c r="AP152" s="127">
        <f t="shared" si="659"/>
        <v>17.5</v>
      </c>
      <c r="AQ152" s="127">
        <f t="shared" si="660"/>
        <v>1.41</v>
      </c>
      <c r="AR152" s="127">
        <f t="shared" si="661"/>
        <v>0</v>
      </c>
      <c r="AS152" s="127">
        <f t="shared" si="662"/>
        <v>0</v>
      </c>
      <c r="AT152" s="127">
        <f t="shared" si="663"/>
        <v>0</v>
      </c>
      <c r="AU152" s="127">
        <f t="shared" si="765"/>
        <v>0</v>
      </c>
      <c r="AV152" s="127">
        <f t="shared" si="665"/>
        <v>2.5</v>
      </c>
      <c r="AW152" s="127">
        <f t="shared" si="666"/>
        <v>0</v>
      </c>
      <c r="AX152" s="127"/>
      <c r="AY152" s="127"/>
      <c r="AZ152" s="127">
        <f t="shared" si="766"/>
        <v>52.5</v>
      </c>
      <c r="BA152" s="127">
        <f t="shared" si="726"/>
        <v>3.07</v>
      </c>
      <c r="BB152" s="127">
        <f t="shared" si="767"/>
        <v>0</v>
      </c>
      <c r="BC152" s="127">
        <f t="shared" si="767"/>
        <v>0</v>
      </c>
      <c r="BD152" s="127">
        <f t="shared" si="767"/>
        <v>0</v>
      </c>
      <c r="BE152" s="127">
        <f t="shared" si="742"/>
        <v>0</v>
      </c>
      <c r="BF152" s="127">
        <f t="shared" si="741"/>
        <v>7.5</v>
      </c>
      <c r="BG152" s="127">
        <f t="shared" si="741"/>
        <v>0</v>
      </c>
      <c r="BH152" s="2"/>
      <c r="BI152" s="2"/>
      <c r="BJ152" s="2"/>
      <c r="BK152" s="2"/>
    </row>
    <row r="153" spans="1:65" ht="20.100000000000001" customHeight="1" x14ac:dyDescent="0.3">
      <c r="A153" s="15">
        <v>13</v>
      </c>
      <c r="B153" s="16" t="s">
        <v>105</v>
      </c>
      <c r="C153" s="17">
        <v>60</v>
      </c>
      <c r="D153" s="17">
        <v>4</v>
      </c>
      <c r="E153" s="19" t="e">
        <f>C153+D153+#REF!+#REF!</f>
        <v>#REF!</v>
      </c>
      <c r="F153" s="17">
        <v>0</v>
      </c>
      <c r="G153" s="28">
        <v>0</v>
      </c>
      <c r="H153" s="19" t="e">
        <f>F153+G153+#REF!</f>
        <v>#REF!</v>
      </c>
      <c r="I153" s="17">
        <v>0</v>
      </c>
      <c r="J153" s="17">
        <v>0</v>
      </c>
      <c r="K153" s="19">
        <f t="shared" si="755"/>
        <v>0</v>
      </c>
      <c r="L153" s="28">
        <v>10</v>
      </c>
      <c r="M153" s="28">
        <v>0</v>
      </c>
      <c r="N153" s="19">
        <f t="shared" si="682"/>
        <v>10</v>
      </c>
      <c r="O153" s="19">
        <f t="shared" si="783"/>
        <v>70</v>
      </c>
      <c r="P153" s="20">
        <f t="shared" si="784"/>
        <v>4</v>
      </c>
      <c r="Q153" s="19">
        <f t="shared" si="640"/>
        <v>74</v>
      </c>
      <c r="R153" s="17">
        <f t="shared" si="757"/>
        <v>15</v>
      </c>
      <c r="S153" s="17">
        <f t="shared" si="758"/>
        <v>0.6</v>
      </c>
      <c r="T153" s="17">
        <f t="shared" si="759"/>
        <v>0</v>
      </c>
      <c r="U153" s="17">
        <f t="shared" si="760"/>
        <v>0</v>
      </c>
      <c r="V153" s="17">
        <f t="shared" si="761"/>
        <v>0</v>
      </c>
      <c r="W153" s="17">
        <f t="shared" si="762"/>
        <v>0</v>
      </c>
      <c r="X153" s="17">
        <f t="shared" si="763"/>
        <v>2.5</v>
      </c>
      <c r="Y153" s="113">
        <f t="shared" si="764"/>
        <v>0</v>
      </c>
      <c r="Z153" s="127">
        <f t="shared" si="768"/>
        <v>10.62</v>
      </c>
      <c r="AA153" s="127">
        <f t="shared" si="769"/>
        <v>0.24</v>
      </c>
      <c r="AB153" s="127">
        <f t="shared" si="770"/>
        <v>0</v>
      </c>
      <c r="AC153" s="127">
        <f t="shared" si="771"/>
        <v>0</v>
      </c>
      <c r="AD153" s="127">
        <f t="shared" si="772"/>
        <v>0</v>
      </c>
      <c r="AE153" s="127">
        <f t="shared" si="773"/>
        <v>0</v>
      </c>
      <c r="AF153" s="127">
        <v>0</v>
      </c>
      <c r="AG153" s="127">
        <v>0</v>
      </c>
      <c r="AH153" s="127">
        <f t="shared" si="774"/>
        <v>4.38</v>
      </c>
      <c r="AI153" s="127">
        <f t="shared" si="775"/>
        <v>0.48</v>
      </c>
      <c r="AJ153" s="127">
        <f t="shared" si="776"/>
        <v>0</v>
      </c>
      <c r="AK153" s="127">
        <f t="shared" si="777"/>
        <v>0</v>
      </c>
      <c r="AL153" s="127">
        <f t="shared" si="656"/>
        <v>0</v>
      </c>
      <c r="AM153" s="127">
        <f t="shared" si="778"/>
        <v>0</v>
      </c>
      <c r="AN153" s="127">
        <f t="shared" si="658"/>
        <v>2.5</v>
      </c>
      <c r="AO153" s="127">
        <f t="shared" si="667"/>
        <v>0</v>
      </c>
      <c r="AP153" s="127">
        <f t="shared" si="659"/>
        <v>15</v>
      </c>
      <c r="AQ153" s="127">
        <f t="shared" si="660"/>
        <v>1.1299999999999999</v>
      </c>
      <c r="AR153" s="127">
        <f t="shared" si="661"/>
        <v>0</v>
      </c>
      <c r="AS153" s="127">
        <f t="shared" si="662"/>
        <v>0</v>
      </c>
      <c r="AT153" s="127">
        <f t="shared" si="663"/>
        <v>0</v>
      </c>
      <c r="AU153" s="127">
        <f t="shared" si="765"/>
        <v>0</v>
      </c>
      <c r="AV153" s="127">
        <f t="shared" si="665"/>
        <v>2.5</v>
      </c>
      <c r="AW153" s="127">
        <f t="shared" si="666"/>
        <v>0</v>
      </c>
      <c r="AX153" s="127"/>
      <c r="AY153" s="127"/>
      <c r="AZ153" s="127">
        <f t="shared" si="766"/>
        <v>45</v>
      </c>
      <c r="BA153" s="127">
        <f t="shared" si="726"/>
        <v>2.4499999999999997</v>
      </c>
      <c r="BB153" s="127">
        <f t="shared" si="767"/>
        <v>0</v>
      </c>
      <c r="BC153" s="127">
        <f t="shared" si="767"/>
        <v>0</v>
      </c>
      <c r="BD153" s="127">
        <f t="shared" si="767"/>
        <v>0</v>
      </c>
      <c r="BE153" s="127">
        <f t="shared" si="742"/>
        <v>0</v>
      </c>
      <c r="BF153" s="127">
        <f t="shared" si="741"/>
        <v>7.5</v>
      </c>
      <c r="BG153" s="127">
        <f t="shared" si="741"/>
        <v>0</v>
      </c>
      <c r="BH153" s="2"/>
      <c r="BI153" s="2"/>
      <c r="BJ153" s="2"/>
      <c r="BK153" s="2"/>
    </row>
    <row r="154" spans="1:65" ht="20.100000000000001" customHeight="1" x14ac:dyDescent="0.3">
      <c r="A154" s="15">
        <v>14</v>
      </c>
      <c r="B154" s="16" t="s">
        <v>106</v>
      </c>
      <c r="C154" s="17">
        <v>0</v>
      </c>
      <c r="D154" s="17">
        <v>0</v>
      </c>
      <c r="E154" s="19" t="e">
        <f>C154+D154+#REF!+#REF!</f>
        <v>#REF!</v>
      </c>
      <c r="F154" s="17">
        <v>0</v>
      </c>
      <c r="G154" s="28">
        <v>0</v>
      </c>
      <c r="H154" s="19" t="e">
        <f>F154+G154+#REF!</f>
        <v>#REF!</v>
      </c>
      <c r="I154" s="17">
        <v>0</v>
      </c>
      <c r="J154" s="17">
        <v>0</v>
      </c>
      <c r="K154" s="19">
        <f t="shared" si="755"/>
        <v>0</v>
      </c>
      <c r="L154" s="28">
        <v>0</v>
      </c>
      <c r="M154" s="28">
        <v>0</v>
      </c>
      <c r="N154" s="19">
        <f t="shared" si="682"/>
        <v>0</v>
      </c>
      <c r="O154" s="19">
        <f t="shared" si="783"/>
        <v>0</v>
      </c>
      <c r="P154" s="20">
        <f t="shared" si="784"/>
        <v>0</v>
      </c>
      <c r="Q154" s="19">
        <f t="shared" si="640"/>
        <v>0</v>
      </c>
      <c r="R154" s="17">
        <f t="shared" si="757"/>
        <v>0</v>
      </c>
      <c r="S154" s="17">
        <f t="shared" si="758"/>
        <v>0</v>
      </c>
      <c r="T154" s="17">
        <f t="shared" si="759"/>
        <v>0</v>
      </c>
      <c r="U154" s="17">
        <f t="shared" si="760"/>
        <v>0</v>
      </c>
      <c r="V154" s="17">
        <f t="shared" si="761"/>
        <v>0</v>
      </c>
      <c r="W154" s="17">
        <f t="shared" si="762"/>
        <v>0</v>
      </c>
      <c r="X154" s="17">
        <f t="shared" si="763"/>
        <v>0</v>
      </c>
      <c r="Y154" s="113">
        <f t="shared" si="764"/>
        <v>0</v>
      </c>
      <c r="Z154" s="127">
        <f t="shared" si="768"/>
        <v>0</v>
      </c>
      <c r="AA154" s="127">
        <f t="shared" si="769"/>
        <v>0</v>
      </c>
      <c r="AB154" s="127">
        <f t="shared" si="770"/>
        <v>0</v>
      </c>
      <c r="AC154" s="127">
        <f t="shared" si="771"/>
        <v>0</v>
      </c>
      <c r="AD154" s="127">
        <f t="shared" si="772"/>
        <v>0</v>
      </c>
      <c r="AE154" s="127">
        <f t="shared" si="773"/>
        <v>0</v>
      </c>
      <c r="AF154" s="127">
        <v>0</v>
      </c>
      <c r="AG154" s="127">
        <v>0</v>
      </c>
      <c r="AH154" s="127">
        <f t="shared" si="774"/>
        <v>0</v>
      </c>
      <c r="AI154" s="127">
        <f t="shared" si="775"/>
        <v>0</v>
      </c>
      <c r="AJ154" s="127">
        <f t="shared" si="776"/>
        <v>0</v>
      </c>
      <c r="AK154" s="127">
        <f t="shared" si="777"/>
        <v>0</v>
      </c>
      <c r="AL154" s="127">
        <f t="shared" si="656"/>
        <v>0</v>
      </c>
      <c r="AM154" s="127">
        <f t="shared" si="778"/>
        <v>0</v>
      </c>
      <c r="AN154" s="127">
        <f t="shared" si="658"/>
        <v>0</v>
      </c>
      <c r="AO154" s="127">
        <f t="shared" si="667"/>
        <v>0</v>
      </c>
      <c r="AP154" s="127">
        <f t="shared" si="659"/>
        <v>0</v>
      </c>
      <c r="AQ154" s="127">
        <f t="shared" si="660"/>
        <v>0</v>
      </c>
      <c r="AR154" s="127">
        <f t="shared" si="661"/>
        <v>0</v>
      </c>
      <c r="AS154" s="127">
        <f t="shared" si="662"/>
        <v>0</v>
      </c>
      <c r="AT154" s="127">
        <f t="shared" si="663"/>
        <v>0</v>
      </c>
      <c r="AU154" s="127">
        <f t="shared" si="765"/>
        <v>0</v>
      </c>
      <c r="AV154" s="127">
        <f t="shared" si="665"/>
        <v>0</v>
      </c>
      <c r="AW154" s="127">
        <f t="shared" si="666"/>
        <v>0</v>
      </c>
      <c r="AX154" s="127"/>
      <c r="AY154" s="127"/>
      <c r="AZ154" s="127">
        <f t="shared" si="766"/>
        <v>0</v>
      </c>
      <c r="BA154" s="127">
        <f t="shared" si="726"/>
        <v>0</v>
      </c>
      <c r="BB154" s="127">
        <f t="shared" si="767"/>
        <v>0</v>
      </c>
      <c r="BC154" s="127">
        <f t="shared" si="767"/>
        <v>0</v>
      </c>
      <c r="BD154" s="127">
        <f t="shared" si="767"/>
        <v>0</v>
      </c>
      <c r="BE154" s="127">
        <f t="shared" si="742"/>
        <v>0</v>
      </c>
      <c r="BF154" s="127">
        <f t="shared" si="741"/>
        <v>0</v>
      </c>
      <c r="BG154" s="127">
        <f t="shared" si="741"/>
        <v>0</v>
      </c>
      <c r="BH154" s="2"/>
      <c r="BI154" s="2"/>
      <c r="BJ154" s="2"/>
      <c r="BK154" s="2"/>
    </row>
    <row r="155" spans="1:65" ht="20.100000000000001" customHeight="1" x14ac:dyDescent="0.3">
      <c r="A155" s="15">
        <v>15</v>
      </c>
      <c r="B155" s="16" t="s">
        <v>107</v>
      </c>
      <c r="C155" s="17">
        <v>70</v>
      </c>
      <c r="D155" s="17">
        <v>5</v>
      </c>
      <c r="E155" s="19" t="e">
        <f>C155+D155+#REF!+#REF!</f>
        <v>#REF!</v>
      </c>
      <c r="F155" s="17">
        <v>0</v>
      </c>
      <c r="G155" s="28">
        <v>0</v>
      </c>
      <c r="H155" s="19" t="e">
        <f>F155+G155+#REF!</f>
        <v>#REF!</v>
      </c>
      <c r="I155" s="17">
        <v>0</v>
      </c>
      <c r="J155" s="17">
        <v>0</v>
      </c>
      <c r="K155" s="19">
        <f t="shared" si="755"/>
        <v>0</v>
      </c>
      <c r="L155" s="28">
        <v>10</v>
      </c>
      <c r="M155" s="28">
        <v>0</v>
      </c>
      <c r="N155" s="19">
        <f t="shared" si="682"/>
        <v>10</v>
      </c>
      <c r="O155" s="19">
        <f t="shared" si="783"/>
        <v>80</v>
      </c>
      <c r="P155" s="20">
        <f t="shared" si="784"/>
        <v>5</v>
      </c>
      <c r="Q155" s="19">
        <f t="shared" si="640"/>
        <v>85</v>
      </c>
      <c r="R155" s="17">
        <f t="shared" si="757"/>
        <v>17.5</v>
      </c>
      <c r="S155" s="17">
        <f t="shared" si="758"/>
        <v>0.75</v>
      </c>
      <c r="T155" s="17">
        <f t="shared" si="759"/>
        <v>0</v>
      </c>
      <c r="U155" s="17">
        <f t="shared" si="760"/>
        <v>0</v>
      </c>
      <c r="V155" s="17">
        <f t="shared" si="761"/>
        <v>0</v>
      </c>
      <c r="W155" s="17">
        <f t="shared" si="762"/>
        <v>0</v>
      </c>
      <c r="X155" s="17">
        <f t="shared" si="763"/>
        <v>2.5</v>
      </c>
      <c r="Y155" s="113">
        <f t="shared" si="764"/>
        <v>0</v>
      </c>
      <c r="Z155" s="127">
        <f t="shared" si="768"/>
        <v>12.39</v>
      </c>
      <c r="AA155" s="127">
        <f t="shared" si="769"/>
        <v>0.31</v>
      </c>
      <c r="AB155" s="127">
        <f t="shared" si="770"/>
        <v>0</v>
      </c>
      <c r="AC155" s="127">
        <f t="shared" si="771"/>
        <v>0</v>
      </c>
      <c r="AD155" s="127">
        <f t="shared" si="772"/>
        <v>0</v>
      </c>
      <c r="AE155" s="127">
        <f t="shared" si="773"/>
        <v>0</v>
      </c>
      <c r="AF155" s="127">
        <v>0</v>
      </c>
      <c r="AG155" s="127">
        <v>0</v>
      </c>
      <c r="AH155" s="127">
        <f t="shared" si="774"/>
        <v>5.1100000000000003</v>
      </c>
      <c r="AI155" s="127">
        <f t="shared" si="775"/>
        <v>0.6</v>
      </c>
      <c r="AJ155" s="127">
        <f t="shared" si="776"/>
        <v>0</v>
      </c>
      <c r="AK155" s="127">
        <f t="shared" si="777"/>
        <v>0</v>
      </c>
      <c r="AL155" s="127">
        <f t="shared" si="656"/>
        <v>0</v>
      </c>
      <c r="AM155" s="127">
        <f t="shared" si="778"/>
        <v>0</v>
      </c>
      <c r="AN155" s="127">
        <f t="shared" si="658"/>
        <v>2.5</v>
      </c>
      <c r="AO155" s="127">
        <f t="shared" si="667"/>
        <v>0</v>
      </c>
      <c r="AP155" s="127">
        <f t="shared" si="659"/>
        <v>17.5</v>
      </c>
      <c r="AQ155" s="127">
        <f t="shared" si="660"/>
        <v>1.41</v>
      </c>
      <c r="AR155" s="127">
        <f t="shared" si="661"/>
        <v>0</v>
      </c>
      <c r="AS155" s="127">
        <f t="shared" si="662"/>
        <v>0</v>
      </c>
      <c r="AT155" s="127">
        <f t="shared" si="663"/>
        <v>0</v>
      </c>
      <c r="AU155" s="127">
        <f t="shared" si="765"/>
        <v>0</v>
      </c>
      <c r="AV155" s="127">
        <f t="shared" si="665"/>
        <v>2.5</v>
      </c>
      <c r="AW155" s="127">
        <f t="shared" si="666"/>
        <v>0</v>
      </c>
      <c r="AX155" s="127"/>
      <c r="AY155" s="127"/>
      <c r="AZ155" s="127">
        <f t="shared" si="766"/>
        <v>52.5</v>
      </c>
      <c r="BA155" s="127">
        <f t="shared" si="726"/>
        <v>3.07</v>
      </c>
      <c r="BB155" s="127">
        <f t="shared" si="767"/>
        <v>0</v>
      </c>
      <c r="BC155" s="127">
        <f t="shared" si="767"/>
        <v>0</v>
      </c>
      <c r="BD155" s="127">
        <f t="shared" si="767"/>
        <v>0</v>
      </c>
      <c r="BE155" s="127">
        <f t="shared" si="742"/>
        <v>0</v>
      </c>
      <c r="BF155" s="127">
        <f t="shared" si="741"/>
        <v>7.5</v>
      </c>
      <c r="BG155" s="127">
        <f t="shared" si="741"/>
        <v>0</v>
      </c>
      <c r="BH155" s="2"/>
      <c r="BI155" s="2"/>
      <c r="BJ155" s="2"/>
      <c r="BK155" s="2"/>
    </row>
    <row r="156" spans="1:65" ht="20.100000000000001" customHeight="1" x14ac:dyDescent="0.3">
      <c r="A156" s="15">
        <v>16</v>
      </c>
      <c r="B156" s="16" t="s">
        <v>108</v>
      </c>
      <c r="C156" s="17">
        <v>70</v>
      </c>
      <c r="D156" s="17">
        <v>10</v>
      </c>
      <c r="E156" s="19" t="e">
        <f>C156+D156+#REF!+#REF!</f>
        <v>#REF!</v>
      </c>
      <c r="F156" s="17">
        <v>0</v>
      </c>
      <c r="G156" s="28">
        <v>0</v>
      </c>
      <c r="H156" s="19" t="e">
        <f>F156+G156+#REF!</f>
        <v>#REF!</v>
      </c>
      <c r="I156" s="17">
        <v>0</v>
      </c>
      <c r="J156" s="17">
        <v>0</v>
      </c>
      <c r="K156" s="19">
        <f t="shared" si="755"/>
        <v>0</v>
      </c>
      <c r="L156" s="28">
        <v>10</v>
      </c>
      <c r="M156" s="28">
        <v>0</v>
      </c>
      <c r="N156" s="19">
        <f t="shared" si="682"/>
        <v>10</v>
      </c>
      <c r="O156" s="19">
        <f t="shared" si="783"/>
        <v>80</v>
      </c>
      <c r="P156" s="20">
        <f t="shared" si="784"/>
        <v>10</v>
      </c>
      <c r="Q156" s="19">
        <f t="shared" si="640"/>
        <v>90</v>
      </c>
      <c r="R156" s="17">
        <f t="shared" si="757"/>
        <v>17.5</v>
      </c>
      <c r="S156" s="17">
        <f t="shared" si="758"/>
        <v>1.5</v>
      </c>
      <c r="T156" s="17">
        <f t="shared" si="759"/>
        <v>0</v>
      </c>
      <c r="U156" s="17">
        <f t="shared" si="760"/>
        <v>0</v>
      </c>
      <c r="V156" s="17">
        <f t="shared" si="761"/>
        <v>0</v>
      </c>
      <c r="W156" s="17">
        <f t="shared" si="762"/>
        <v>0</v>
      </c>
      <c r="X156" s="17">
        <f t="shared" si="763"/>
        <v>2.5</v>
      </c>
      <c r="Y156" s="113">
        <f t="shared" si="764"/>
        <v>0</v>
      </c>
      <c r="Z156" s="127">
        <f t="shared" si="768"/>
        <v>12.39</v>
      </c>
      <c r="AA156" s="127">
        <f t="shared" si="769"/>
        <v>0.61</v>
      </c>
      <c r="AB156" s="127">
        <f t="shared" si="770"/>
        <v>0</v>
      </c>
      <c r="AC156" s="127">
        <f t="shared" si="771"/>
        <v>0</v>
      </c>
      <c r="AD156" s="127">
        <f t="shared" si="772"/>
        <v>0</v>
      </c>
      <c r="AE156" s="127">
        <f t="shared" si="773"/>
        <v>0</v>
      </c>
      <c r="AF156" s="127">
        <v>0</v>
      </c>
      <c r="AG156" s="127">
        <v>0</v>
      </c>
      <c r="AH156" s="127">
        <f t="shared" si="774"/>
        <v>5.1100000000000003</v>
      </c>
      <c r="AI156" s="127">
        <f t="shared" si="775"/>
        <v>1.2</v>
      </c>
      <c r="AJ156" s="127">
        <f t="shared" si="776"/>
        <v>0</v>
      </c>
      <c r="AK156" s="127">
        <f t="shared" si="777"/>
        <v>0</v>
      </c>
      <c r="AL156" s="127">
        <f t="shared" si="656"/>
        <v>0</v>
      </c>
      <c r="AM156" s="127">
        <f t="shared" si="778"/>
        <v>0</v>
      </c>
      <c r="AN156" s="127">
        <f t="shared" si="658"/>
        <v>2.5</v>
      </c>
      <c r="AO156" s="127">
        <f t="shared" si="667"/>
        <v>0</v>
      </c>
      <c r="AP156" s="127">
        <f t="shared" si="659"/>
        <v>17.5</v>
      </c>
      <c r="AQ156" s="127">
        <f t="shared" si="660"/>
        <v>2.82</v>
      </c>
      <c r="AR156" s="127">
        <f t="shared" si="661"/>
        <v>0</v>
      </c>
      <c r="AS156" s="127">
        <f t="shared" si="662"/>
        <v>0</v>
      </c>
      <c r="AT156" s="127">
        <f t="shared" si="663"/>
        <v>0</v>
      </c>
      <c r="AU156" s="127">
        <f t="shared" si="765"/>
        <v>0</v>
      </c>
      <c r="AV156" s="127">
        <f t="shared" si="665"/>
        <v>2.5</v>
      </c>
      <c r="AW156" s="127">
        <f t="shared" si="666"/>
        <v>0</v>
      </c>
      <c r="AX156" s="127"/>
      <c r="AY156" s="127"/>
      <c r="AZ156" s="127">
        <f t="shared" si="766"/>
        <v>52.5</v>
      </c>
      <c r="BA156" s="127">
        <f t="shared" si="726"/>
        <v>6.13</v>
      </c>
      <c r="BB156" s="127">
        <f t="shared" si="767"/>
        <v>0</v>
      </c>
      <c r="BC156" s="127">
        <f t="shared" si="767"/>
        <v>0</v>
      </c>
      <c r="BD156" s="127">
        <f t="shared" si="767"/>
        <v>0</v>
      </c>
      <c r="BE156" s="127">
        <f t="shared" si="742"/>
        <v>0</v>
      </c>
      <c r="BF156" s="127">
        <f t="shared" si="741"/>
        <v>7.5</v>
      </c>
      <c r="BG156" s="127">
        <f t="shared" si="741"/>
        <v>0</v>
      </c>
      <c r="BH156" s="2"/>
      <c r="BI156" s="2"/>
      <c r="BJ156" s="2"/>
      <c r="BK156" s="2"/>
    </row>
    <row r="157" spans="1:65" ht="25.5" customHeight="1" x14ac:dyDescent="0.3">
      <c r="A157" s="15">
        <v>17</v>
      </c>
      <c r="B157" s="16" t="s">
        <v>109</v>
      </c>
      <c r="C157" s="17">
        <v>410</v>
      </c>
      <c r="D157" s="17">
        <v>40</v>
      </c>
      <c r="E157" s="19" t="e">
        <f>C157+D157+#REF!+#REF!</f>
        <v>#REF!</v>
      </c>
      <c r="F157" s="17">
        <v>0</v>
      </c>
      <c r="G157" s="28">
        <v>0</v>
      </c>
      <c r="H157" s="19" t="e">
        <f>F157+G157+#REF!</f>
        <v>#REF!</v>
      </c>
      <c r="I157" s="17">
        <v>0</v>
      </c>
      <c r="J157" s="17">
        <v>0</v>
      </c>
      <c r="K157" s="19">
        <f t="shared" si="755"/>
        <v>0</v>
      </c>
      <c r="L157" s="28">
        <v>45</v>
      </c>
      <c r="M157" s="28">
        <v>5</v>
      </c>
      <c r="N157" s="19">
        <f t="shared" si="682"/>
        <v>50</v>
      </c>
      <c r="O157" s="19">
        <f t="shared" si="783"/>
        <v>455</v>
      </c>
      <c r="P157" s="20">
        <f t="shared" si="784"/>
        <v>45</v>
      </c>
      <c r="Q157" s="19">
        <f t="shared" si="640"/>
        <v>500</v>
      </c>
      <c r="R157" s="17">
        <f t="shared" ref="R157:R185" si="785">ROUND(C157*0.25,2)</f>
        <v>102.5</v>
      </c>
      <c r="S157" s="17">
        <f t="shared" si="758"/>
        <v>6</v>
      </c>
      <c r="T157" s="17">
        <f t="shared" si="759"/>
        <v>0</v>
      </c>
      <c r="U157" s="17">
        <f t="shared" si="760"/>
        <v>0</v>
      </c>
      <c r="V157" s="17">
        <f t="shared" si="761"/>
        <v>0</v>
      </c>
      <c r="W157" s="17">
        <f t="shared" si="762"/>
        <v>0</v>
      </c>
      <c r="X157" s="17">
        <f t="shared" si="763"/>
        <v>11.25</v>
      </c>
      <c r="Y157" s="113">
        <f t="shared" si="764"/>
        <v>0.75</v>
      </c>
      <c r="Z157" s="127">
        <f t="shared" si="768"/>
        <v>72.569999999999993</v>
      </c>
      <c r="AA157" s="127">
        <f t="shared" si="769"/>
        <v>2.44</v>
      </c>
      <c r="AB157" s="127">
        <f t="shared" si="770"/>
        <v>0</v>
      </c>
      <c r="AC157" s="127">
        <f t="shared" si="771"/>
        <v>0</v>
      </c>
      <c r="AD157" s="127">
        <f t="shared" si="772"/>
        <v>0</v>
      </c>
      <c r="AE157" s="127">
        <f t="shared" si="773"/>
        <v>0</v>
      </c>
      <c r="AF157" s="127">
        <v>0</v>
      </c>
      <c r="AG157" s="127">
        <v>0</v>
      </c>
      <c r="AH157" s="127">
        <f t="shared" si="774"/>
        <v>29.93</v>
      </c>
      <c r="AI157" s="127">
        <f t="shared" si="775"/>
        <v>4.8</v>
      </c>
      <c r="AJ157" s="127">
        <f t="shared" si="776"/>
        <v>0</v>
      </c>
      <c r="AK157" s="127">
        <f t="shared" si="777"/>
        <v>0</v>
      </c>
      <c r="AL157" s="127">
        <f t="shared" ref="AL157:AL220" si="786">ROUND(I157*9%,2)</f>
        <v>0</v>
      </c>
      <c r="AM157" s="127">
        <f t="shared" si="778"/>
        <v>0</v>
      </c>
      <c r="AN157" s="127">
        <f t="shared" ref="AN157:AN220" si="787">ROUND(L157*25%,2)</f>
        <v>11.25</v>
      </c>
      <c r="AO157" s="127">
        <f t="shared" ref="AO157:AO220" si="788">ROUND(M157*18%,2)</f>
        <v>0.9</v>
      </c>
      <c r="AP157" s="127">
        <f t="shared" ref="AP157:AP220" si="789">ROUND(C157*25%,2)</f>
        <v>102.5</v>
      </c>
      <c r="AQ157" s="127">
        <f t="shared" ref="AQ157:AQ220" si="790">ROUND(D157*28.15%,2)</f>
        <v>11.26</v>
      </c>
      <c r="AR157" s="127">
        <f t="shared" ref="AR157:AR220" si="791">ROUND(F157*25%,2)</f>
        <v>0</v>
      </c>
      <c r="AS157" s="127">
        <f t="shared" ref="AS157:AS220" si="792">ROUND(G157*28.15%,2)</f>
        <v>0</v>
      </c>
      <c r="AT157" s="127">
        <f t="shared" ref="AT157:AT220" si="793">ROUND(I157*25%,2)</f>
        <v>0</v>
      </c>
      <c r="AU157" s="127">
        <f t="shared" ref="AU157:AU220" si="794">ROUND(J157*28.15%,2)</f>
        <v>0</v>
      </c>
      <c r="AV157" s="127">
        <f t="shared" ref="AV157:AV218" si="795">ROUND(L157*25%,2)</f>
        <v>11.25</v>
      </c>
      <c r="AW157" s="127">
        <f t="shared" ref="AW157:AW220" si="796">ROUND(M157*28.15%,2)</f>
        <v>1.41</v>
      </c>
      <c r="AX157" s="127"/>
      <c r="AY157" s="127"/>
      <c r="AZ157" s="127">
        <f t="shared" si="766"/>
        <v>307.5</v>
      </c>
      <c r="BA157" s="127">
        <f t="shared" si="726"/>
        <v>24.5</v>
      </c>
      <c r="BB157" s="127">
        <f t="shared" si="767"/>
        <v>0</v>
      </c>
      <c r="BC157" s="127">
        <f t="shared" si="767"/>
        <v>0</v>
      </c>
      <c r="BD157" s="127">
        <f t="shared" si="767"/>
        <v>0</v>
      </c>
      <c r="BE157" s="127">
        <f t="shared" si="742"/>
        <v>0</v>
      </c>
      <c r="BF157" s="127">
        <f t="shared" si="741"/>
        <v>33.75</v>
      </c>
      <c r="BG157" s="127">
        <f t="shared" si="741"/>
        <v>3.06</v>
      </c>
      <c r="BH157" s="2"/>
      <c r="BI157" s="2"/>
      <c r="BJ157" s="2"/>
      <c r="BK157" s="2"/>
    </row>
    <row r="158" spans="1:65" s="6" customFormat="1" ht="27.75" customHeight="1" x14ac:dyDescent="0.3">
      <c r="A158" s="76"/>
      <c r="B158" s="77" t="s">
        <v>101</v>
      </c>
      <c r="C158" s="78">
        <f>SUM(C149:C157)</f>
        <v>5175</v>
      </c>
      <c r="D158" s="78">
        <f t="shared" ref="D158:I158" si="797">SUM(D149:D157)</f>
        <v>617</v>
      </c>
      <c r="E158" s="78" t="e">
        <f t="shared" si="797"/>
        <v>#REF!</v>
      </c>
      <c r="F158" s="78">
        <f t="shared" si="797"/>
        <v>115</v>
      </c>
      <c r="G158" s="78">
        <f t="shared" si="797"/>
        <v>25</v>
      </c>
      <c r="H158" s="78" t="e">
        <f t="shared" si="797"/>
        <v>#REF!</v>
      </c>
      <c r="I158" s="78">
        <f t="shared" si="797"/>
        <v>90</v>
      </c>
      <c r="J158" s="78">
        <f t="shared" ref="J158" si="798">SUM(J149:J157)</f>
        <v>3</v>
      </c>
      <c r="K158" s="78">
        <f t="shared" ref="K158" si="799">SUM(K149:K157)</f>
        <v>93</v>
      </c>
      <c r="L158" s="78">
        <f t="shared" ref="L158" si="800">SUM(L149:L157)</f>
        <v>505</v>
      </c>
      <c r="M158" s="78">
        <f t="shared" ref="M158:BG158" si="801">SUM(M149:M157)</f>
        <v>45</v>
      </c>
      <c r="N158" s="78">
        <f t="shared" si="801"/>
        <v>550</v>
      </c>
      <c r="O158" s="78">
        <f t="shared" si="801"/>
        <v>5885</v>
      </c>
      <c r="P158" s="78">
        <f t="shared" si="801"/>
        <v>690</v>
      </c>
      <c r="Q158" s="78">
        <f t="shared" si="801"/>
        <v>6575</v>
      </c>
      <c r="R158" s="78">
        <f t="shared" si="801"/>
        <v>1293.75</v>
      </c>
      <c r="S158" s="78">
        <f t="shared" si="801"/>
        <v>92.55</v>
      </c>
      <c r="T158" s="78">
        <f t="shared" si="801"/>
        <v>28.75</v>
      </c>
      <c r="U158" s="78">
        <f t="shared" si="801"/>
        <v>3.75</v>
      </c>
      <c r="V158" s="78">
        <f t="shared" si="801"/>
        <v>22.5</v>
      </c>
      <c r="W158" s="78">
        <f t="shared" si="801"/>
        <v>0.45</v>
      </c>
      <c r="X158" s="78">
        <f t="shared" si="801"/>
        <v>126.25</v>
      </c>
      <c r="Y158" s="114">
        <f t="shared" si="801"/>
        <v>6.75</v>
      </c>
      <c r="Z158" s="78">
        <f t="shared" si="801"/>
        <v>915.87999999999988</v>
      </c>
      <c r="AA158" s="78">
        <f t="shared" si="801"/>
        <v>37.750000000000007</v>
      </c>
      <c r="AB158" s="78">
        <f t="shared" si="801"/>
        <v>18.399999999999999</v>
      </c>
      <c r="AC158" s="78">
        <f t="shared" si="801"/>
        <v>1.35</v>
      </c>
      <c r="AD158" s="78">
        <f t="shared" si="801"/>
        <v>14.4</v>
      </c>
      <c r="AE158" s="78">
        <f t="shared" si="801"/>
        <v>0.16</v>
      </c>
      <c r="AF158" s="78">
        <f t="shared" si="801"/>
        <v>0</v>
      </c>
      <c r="AG158" s="78">
        <f t="shared" si="801"/>
        <v>0</v>
      </c>
      <c r="AH158" s="78">
        <f t="shared" si="801"/>
        <v>377.90000000000009</v>
      </c>
      <c r="AI158" s="78">
        <f t="shared" si="801"/>
        <v>72.039999999999992</v>
      </c>
      <c r="AJ158" s="78">
        <f t="shared" si="801"/>
        <v>10.35</v>
      </c>
      <c r="AK158" s="78">
        <f t="shared" si="801"/>
        <v>3.5</v>
      </c>
      <c r="AL158" s="78">
        <f t="shared" si="801"/>
        <v>8.1</v>
      </c>
      <c r="AM158" s="78">
        <f t="shared" si="801"/>
        <v>0.41</v>
      </c>
      <c r="AN158" s="78">
        <f t="shared" si="801"/>
        <v>126.25</v>
      </c>
      <c r="AO158" s="78">
        <f t="shared" si="801"/>
        <v>7.9</v>
      </c>
      <c r="AP158" s="78">
        <f t="shared" si="801"/>
        <v>1293.75</v>
      </c>
      <c r="AQ158" s="78">
        <f t="shared" si="801"/>
        <v>173.69999999999996</v>
      </c>
      <c r="AR158" s="78">
        <f t="shared" si="801"/>
        <v>28.75</v>
      </c>
      <c r="AS158" s="78">
        <f t="shared" si="801"/>
        <v>7.04</v>
      </c>
      <c r="AT158" s="78">
        <f t="shared" si="801"/>
        <v>22.5</v>
      </c>
      <c r="AU158" s="78">
        <f t="shared" si="801"/>
        <v>0.84</v>
      </c>
      <c r="AV158" s="78">
        <f t="shared" si="801"/>
        <v>126.25</v>
      </c>
      <c r="AW158" s="78">
        <f t="shared" si="801"/>
        <v>12.67</v>
      </c>
      <c r="AX158" s="78">
        <f t="shared" si="801"/>
        <v>0</v>
      </c>
      <c r="AY158" s="78">
        <f t="shared" si="801"/>
        <v>0</v>
      </c>
      <c r="AZ158" s="78">
        <f t="shared" si="801"/>
        <v>3881.28</v>
      </c>
      <c r="BA158" s="78">
        <f t="shared" si="801"/>
        <v>376.03999999999996</v>
      </c>
      <c r="BB158" s="78">
        <f t="shared" si="801"/>
        <v>86.25</v>
      </c>
      <c r="BC158" s="78">
        <f t="shared" si="801"/>
        <v>15.639999999999999</v>
      </c>
      <c r="BD158" s="78">
        <f t="shared" si="801"/>
        <v>67.5</v>
      </c>
      <c r="BE158" s="78">
        <f t="shared" si="801"/>
        <v>1.8599999999999999</v>
      </c>
      <c r="BF158" s="78">
        <f t="shared" si="801"/>
        <v>378.75</v>
      </c>
      <c r="BG158" s="78">
        <f t="shared" si="801"/>
        <v>27.319999999999997</v>
      </c>
      <c r="BH158" s="78"/>
      <c r="BI158" s="78"/>
      <c r="BJ158" s="78"/>
      <c r="BK158" s="78"/>
    </row>
    <row r="159" spans="1:65" ht="20.100000000000001" customHeight="1" x14ac:dyDescent="0.3">
      <c r="A159" s="15">
        <v>18</v>
      </c>
      <c r="B159" s="16" t="s">
        <v>110</v>
      </c>
      <c r="C159" s="17">
        <v>885</v>
      </c>
      <c r="D159" s="17">
        <v>30</v>
      </c>
      <c r="E159" s="19" t="e">
        <f>C159+D159+#REF!+#REF!</f>
        <v>#REF!</v>
      </c>
      <c r="F159" s="17">
        <v>20</v>
      </c>
      <c r="G159" s="28">
        <v>0</v>
      </c>
      <c r="H159" s="19" t="e">
        <f>F159+G159+#REF!</f>
        <v>#REF!</v>
      </c>
      <c r="I159" s="17">
        <v>0</v>
      </c>
      <c r="J159" s="17">
        <v>0</v>
      </c>
      <c r="K159" s="19">
        <f t="shared" si="755"/>
        <v>0</v>
      </c>
      <c r="L159" s="28">
        <v>5</v>
      </c>
      <c r="M159" s="28">
        <v>2</v>
      </c>
      <c r="N159" s="19">
        <f t="shared" si="682"/>
        <v>7</v>
      </c>
      <c r="O159" s="19">
        <f t="shared" ref="O159:P161" si="802">C159+F159+I159+L159</f>
        <v>910</v>
      </c>
      <c r="P159" s="20">
        <f t="shared" si="802"/>
        <v>32</v>
      </c>
      <c r="Q159" s="19">
        <f t="shared" si="640"/>
        <v>942</v>
      </c>
      <c r="R159" s="17">
        <f t="shared" si="785"/>
        <v>221.25</v>
      </c>
      <c r="S159" s="17">
        <f t="shared" si="758"/>
        <v>4.5</v>
      </c>
      <c r="T159" s="17">
        <f t="shared" si="759"/>
        <v>5</v>
      </c>
      <c r="U159" s="17">
        <f t="shared" si="760"/>
        <v>0</v>
      </c>
      <c r="V159" s="17">
        <f t="shared" si="761"/>
        <v>0</v>
      </c>
      <c r="W159" s="17">
        <f t="shared" si="762"/>
        <v>0</v>
      </c>
      <c r="X159" s="17">
        <f t="shared" si="763"/>
        <v>1.25</v>
      </c>
      <c r="Y159" s="113">
        <f t="shared" si="764"/>
        <v>0.3</v>
      </c>
      <c r="Z159" s="127">
        <f>ROUND(C159*17.7%,2)-0.05</f>
        <v>156.6</v>
      </c>
      <c r="AA159" s="127">
        <f t="shared" si="769"/>
        <v>1.83</v>
      </c>
      <c r="AB159" s="127">
        <f t="shared" si="770"/>
        <v>3.2</v>
      </c>
      <c r="AC159" s="127">
        <f t="shared" si="771"/>
        <v>0</v>
      </c>
      <c r="AD159" s="127">
        <f t="shared" si="772"/>
        <v>0</v>
      </c>
      <c r="AE159" s="127">
        <f t="shared" si="773"/>
        <v>0</v>
      </c>
      <c r="AF159" s="127">
        <v>0</v>
      </c>
      <c r="AG159" s="127">
        <v>0</v>
      </c>
      <c r="AH159" s="127">
        <f t="shared" si="774"/>
        <v>64.61</v>
      </c>
      <c r="AI159" s="127">
        <f t="shared" si="775"/>
        <v>3.6</v>
      </c>
      <c r="AJ159" s="127">
        <f t="shared" si="776"/>
        <v>1.8</v>
      </c>
      <c r="AK159" s="127">
        <f t="shared" si="777"/>
        <v>0</v>
      </c>
      <c r="AL159" s="127">
        <f t="shared" si="786"/>
        <v>0</v>
      </c>
      <c r="AM159" s="127">
        <f t="shared" si="778"/>
        <v>0</v>
      </c>
      <c r="AN159" s="127">
        <f t="shared" si="787"/>
        <v>1.25</v>
      </c>
      <c r="AO159" s="127">
        <f t="shared" si="788"/>
        <v>0.36</v>
      </c>
      <c r="AP159" s="127">
        <f t="shared" si="789"/>
        <v>221.25</v>
      </c>
      <c r="AQ159" s="127">
        <f t="shared" si="790"/>
        <v>8.4499999999999993</v>
      </c>
      <c r="AR159" s="127">
        <f t="shared" si="791"/>
        <v>5</v>
      </c>
      <c r="AS159" s="127">
        <f t="shared" si="792"/>
        <v>0</v>
      </c>
      <c r="AT159" s="127">
        <f t="shared" si="793"/>
        <v>0</v>
      </c>
      <c r="AU159" s="127">
        <f t="shared" si="794"/>
        <v>0</v>
      </c>
      <c r="AV159" s="127">
        <f t="shared" si="795"/>
        <v>1.25</v>
      </c>
      <c r="AW159" s="127">
        <f t="shared" si="796"/>
        <v>0.56000000000000005</v>
      </c>
      <c r="AX159" s="127"/>
      <c r="AY159" s="127"/>
      <c r="AZ159" s="127">
        <f t="shared" si="766"/>
        <v>663.71</v>
      </c>
      <c r="BA159" s="127">
        <f t="shared" si="726"/>
        <v>18.38</v>
      </c>
      <c r="BB159" s="127">
        <f t="shared" si="767"/>
        <v>15</v>
      </c>
      <c r="BC159" s="127">
        <f t="shared" si="767"/>
        <v>0</v>
      </c>
      <c r="BD159" s="127">
        <f t="shared" si="767"/>
        <v>0</v>
      </c>
      <c r="BE159" s="127">
        <f t="shared" si="742"/>
        <v>0</v>
      </c>
      <c r="BF159" s="127">
        <f t="shared" si="741"/>
        <v>3.75</v>
      </c>
      <c r="BG159" s="127">
        <f t="shared" si="741"/>
        <v>1.22</v>
      </c>
      <c r="BH159" s="2"/>
      <c r="BI159" s="2"/>
      <c r="BJ159" s="2"/>
      <c r="BK159" s="2"/>
    </row>
    <row r="160" spans="1:65" ht="19.5" customHeight="1" x14ac:dyDescent="0.3">
      <c r="A160" s="15">
        <v>19</v>
      </c>
      <c r="B160" s="16" t="s">
        <v>111</v>
      </c>
      <c r="C160" s="17">
        <v>380</v>
      </c>
      <c r="D160" s="17">
        <v>50</v>
      </c>
      <c r="E160" s="19" t="e">
        <f>C160+D160+#REF!+#REF!</f>
        <v>#REF!</v>
      </c>
      <c r="F160" s="17">
        <v>80</v>
      </c>
      <c r="G160" s="28">
        <v>0</v>
      </c>
      <c r="H160" s="19" t="e">
        <f>F160+G160+#REF!</f>
        <v>#REF!</v>
      </c>
      <c r="I160" s="17">
        <v>0</v>
      </c>
      <c r="J160" s="17">
        <v>0</v>
      </c>
      <c r="K160" s="19">
        <f t="shared" si="755"/>
        <v>0</v>
      </c>
      <c r="L160" s="28">
        <v>90</v>
      </c>
      <c r="M160" s="28">
        <v>4</v>
      </c>
      <c r="N160" s="19">
        <f t="shared" si="682"/>
        <v>94</v>
      </c>
      <c r="O160" s="19">
        <f t="shared" si="802"/>
        <v>550</v>
      </c>
      <c r="P160" s="20">
        <f t="shared" si="802"/>
        <v>54</v>
      </c>
      <c r="Q160" s="19">
        <f t="shared" si="640"/>
        <v>604</v>
      </c>
      <c r="R160" s="17">
        <f t="shared" si="785"/>
        <v>95</v>
      </c>
      <c r="S160" s="17">
        <f t="shared" si="758"/>
        <v>7.5</v>
      </c>
      <c r="T160" s="17">
        <f t="shared" si="759"/>
        <v>20</v>
      </c>
      <c r="U160" s="17">
        <f t="shared" si="760"/>
        <v>0</v>
      </c>
      <c r="V160" s="17">
        <f t="shared" si="761"/>
        <v>0</v>
      </c>
      <c r="W160" s="17">
        <f t="shared" si="762"/>
        <v>0</v>
      </c>
      <c r="X160" s="17">
        <f t="shared" si="763"/>
        <v>22.5</v>
      </c>
      <c r="Y160" s="113">
        <f t="shared" si="764"/>
        <v>0.6</v>
      </c>
      <c r="Z160" s="127">
        <f t="shared" si="768"/>
        <v>67.260000000000005</v>
      </c>
      <c r="AA160" s="127">
        <f t="shared" si="769"/>
        <v>3.06</v>
      </c>
      <c r="AB160" s="127">
        <f t="shared" si="770"/>
        <v>12.8</v>
      </c>
      <c r="AC160" s="127">
        <f t="shared" si="771"/>
        <v>0</v>
      </c>
      <c r="AD160" s="127">
        <f t="shared" si="772"/>
        <v>0</v>
      </c>
      <c r="AE160" s="127">
        <f t="shared" si="773"/>
        <v>0</v>
      </c>
      <c r="AF160" s="127">
        <v>0</v>
      </c>
      <c r="AG160" s="127">
        <v>0</v>
      </c>
      <c r="AH160" s="127">
        <f t="shared" si="774"/>
        <v>27.74</v>
      </c>
      <c r="AI160" s="127">
        <f t="shared" si="775"/>
        <v>6</v>
      </c>
      <c r="AJ160" s="127">
        <f t="shared" si="776"/>
        <v>7.2</v>
      </c>
      <c r="AK160" s="127">
        <f t="shared" si="777"/>
        <v>0</v>
      </c>
      <c r="AL160" s="127">
        <f t="shared" si="786"/>
        <v>0</v>
      </c>
      <c r="AM160" s="127">
        <f t="shared" si="778"/>
        <v>0</v>
      </c>
      <c r="AN160" s="127">
        <f t="shared" si="787"/>
        <v>22.5</v>
      </c>
      <c r="AO160" s="127">
        <f>ROUND(M160*18%,2)-0.2</f>
        <v>0.52</v>
      </c>
      <c r="AP160" s="127">
        <f t="shared" si="789"/>
        <v>95</v>
      </c>
      <c r="AQ160" s="127">
        <f t="shared" si="790"/>
        <v>14.08</v>
      </c>
      <c r="AR160" s="127">
        <f t="shared" si="791"/>
        <v>20</v>
      </c>
      <c r="AS160" s="127">
        <f t="shared" si="792"/>
        <v>0</v>
      </c>
      <c r="AT160" s="127">
        <f t="shared" si="793"/>
        <v>0</v>
      </c>
      <c r="AU160" s="127">
        <f t="shared" si="794"/>
        <v>0</v>
      </c>
      <c r="AV160" s="127">
        <f t="shared" si="795"/>
        <v>22.5</v>
      </c>
      <c r="AW160" s="127">
        <f t="shared" si="796"/>
        <v>1.1299999999999999</v>
      </c>
      <c r="AX160" s="127"/>
      <c r="AY160" s="127"/>
      <c r="AZ160" s="127">
        <f t="shared" si="766"/>
        <v>285</v>
      </c>
      <c r="BA160" s="127">
        <f t="shared" si="726"/>
        <v>30.639999999999997</v>
      </c>
      <c r="BB160" s="127">
        <f t="shared" si="767"/>
        <v>60</v>
      </c>
      <c r="BC160" s="127">
        <f t="shared" si="767"/>
        <v>0</v>
      </c>
      <c r="BD160" s="127">
        <f t="shared" si="767"/>
        <v>0</v>
      </c>
      <c r="BE160" s="127">
        <f t="shared" si="742"/>
        <v>0</v>
      </c>
      <c r="BF160" s="127">
        <f t="shared" si="741"/>
        <v>67.5</v>
      </c>
      <c r="BG160" s="127">
        <f t="shared" si="741"/>
        <v>2.25</v>
      </c>
      <c r="BH160" s="2"/>
      <c r="BI160" s="2"/>
      <c r="BJ160" s="2"/>
      <c r="BK160" s="2"/>
    </row>
    <row r="161" spans="1:68" ht="19.5" customHeight="1" x14ac:dyDescent="0.3">
      <c r="A161" s="15">
        <v>20</v>
      </c>
      <c r="B161" s="16" t="s">
        <v>112</v>
      </c>
      <c r="C161" s="17">
        <v>95</v>
      </c>
      <c r="D161" s="17">
        <v>0</v>
      </c>
      <c r="E161" s="19" t="e">
        <f>C161+D161+#REF!+#REF!</f>
        <v>#REF!</v>
      </c>
      <c r="F161" s="17">
        <v>60</v>
      </c>
      <c r="G161" s="28">
        <v>5</v>
      </c>
      <c r="H161" s="19" t="e">
        <f>F161+G161+#REF!</f>
        <v>#REF!</v>
      </c>
      <c r="I161" s="17">
        <v>40</v>
      </c>
      <c r="J161" s="17">
        <v>0</v>
      </c>
      <c r="K161" s="19">
        <f t="shared" si="755"/>
        <v>40</v>
      </c>
      <c r="L161" s="28">
        <v>10</v>
      </c>
      <c r="M161" s="28">
        <v>0</v>
      </c>
      <c r="N161" s="19">
        <f t="shared" si="682"/>
        <v>10</v>
      </c>
      <c r="O161" s="19">
        <f t="shared" si="802"/>
        <v>205</v>
      </c>
      <c r="P161" s="20">
        <f t="shared" si="802"/>
        <v>5</v>
      </c>
      <c r="Q161" s="19">
        <f t="shared" si="640"/>
        <v>210</v>
      </c>
      <c r="R161" s="17">
        <f t="shared" si="785"/>
        <v>23.75</v>
      </c>
      <c r="S161" s="17">
        <f t="shared" si="758"/>
        <v>0</v>
      </c>
      <c r="T161" s="17">
        <f t="shared" si="759"/>
        <v>15</v>
      </c>
      <c r="U161" s="17">
        <f t="shared" si="760"/>
        <v>0.75</v>
      </c>
      <c r="V161" s="17">
        <f t="shared" si="761"/>
        <v>10</v>
      </c>
      <c r="W161" s="17">
        <f t="shared" si="762"/>
        <v>0</v>
      </c>
      <c r="X161" s="17">
        <f t="shared" si="763"/>
        <v>2.5</v>
      </c>
      <c r="Y161" s="113">
        <f t="shared" si="764"/>
        <v>0</v>
      </c>
      <c r="Z161" s="127">
        <f t="shared" si="768"/>
        <v>16.82</v>
      </c>
      <c r="AA161" s="127">
        <f t="shared" si="769"/>
        <v>0</v>
      </c>
      <c r="AB161" s="127">
        <f t="shared" si="770"/>
        <v>9.6</v>
      </c>
      <c r="AC161" s="127">
        <f t="shared" si="771"/>
        <v>0.27</v>
      </c>
      <c r="AD161" s="127">
        <f t="shared" si="772"/>
        <v>6.4</v>
      </c>
      <c r="AE161" s="127">
        <f t="shared" si="773"/>
        <v>0</v>
      </c>
      <c r="AF161" s="127">
        <v>0</v>
      </c>
      <c r="AG161" s="127">
        <v>0</v>
      </c>
      <c r="AH161" s="127">
        <f t="shared" si="774"/>
        <v>6.94</v>
      </c>
      <c r="AI161" s="127">
        <f t="shared" si="775"/>
        <v>0</v>
      </c>
      <c r="AJ161" s="127">
        <f t="shared" si="776"/>
        <v>5.4</v>
      </c>
      <c r="AK161" s="127">
        <f t="shared" si="777"/>
        <v>0.6</v>
      </c>
      <c r="AL161" s="127">
        <f t="shared" si="786"/>
        <v>3.6</v>
      </c>
      <c r="AM161" s="127">
        <f t="shared" si="778"/>
        <v>0</v>
      </c>
      <c r="AN161" s="127">
        <f t="shared" si="787"/>
        <v>2.5</v>
      </c>
      <c r="AO161" s="127">
        <f t="shared" si="788"/>
        <v>0</v>
      </c>
      <c r="AP161" s="127">
        <f t="shared" si="789"/>
        <v>23.75</v>
      </c>
      <c r="AQ161" s="127">
        <f t="shared" si="790"/>
        <v>0</v>
      </c>
      <c r="AR161" s="127">
        <f t="shared" si="791"/>
        <v>15</v>
      </c>
      <c r="AS161" s="127">
        <f t="shared" si="792"/>
        <v>1.41</v>
      </c>
      <c r="AT161" s="127">
        <f t="shared" si="793"/>
        <v>10</v>
      </c>
      <c r="AU161" s="127">
        <f t="shared" si="794"/>
        <v>0</v>
      </c>
      <c r="AV161" s="127">
        <f t="shared" si="795"/>
        <v>2.5</v>
      </c>
      <c r="AW161" s="127">
        <f t="shared" si="796"/>
        <v>0</v>
      </c>
      <c r="AX161" s="127"/>
      <c r="AY161" s="127"/>
      <c r="AZ161" s="127">
        <f t="shared" si="766"/>
        <v>71.260000000000005</v>
      </c>
      <c r="BA161" s="127">
        <f t="shared" si="726"/>
        <v>0</v>
      </c>
      <c r="BB161" s="127">
        <f t="shared" si="767"/>
        <v>45</v>
      </c>
      <c r="BC161" s="127">
        <f t="shared" si="767"/>
        <v>3.03</v>
      </c>
      <c r="BD161" s="127">
        <f t="shared" si="767"/>
        <v>30</v>
      </c>
      <c r="BE161" s="127">
        <f t="shared" si="742"/>
        <v>0</v>
      </c>
      <c r="BF161" s="127">
        <f t="shared" si="741"/>
        <v>7.5</v>
      </c>
      <c r="BG161" s="127">
        <f t="shared" si="741"/>
        <v>0</v>
      </c>
      <c r="BH161" s="2"/>
      <c r="BI161" s="2"/>
      <c r="BJ161" s="2"/>
      <c r="BK161" s="2"/>
    </row>
    <row r="162" spans="1:68" s="6" customFormat="1" ht="19.5" customHeight="1" x14ac:dyDescent="0.3">
      <c r="A162" s="76"/>
      <c r="B162" s="77" t="s">
        <v>111</v>
      </c>
      <c r="C162" s="78">
        <f>+C160+C161</f>
        <v>475</v>
      </c>
      <c r="D162" s="78">
        <f t="shared" ref="D162:K162" si="803">+D160+D161</f>
        <v>50</v>
      </c>
      <c r="E162" s="78" t="e">
        <f t="shared" si="803"/>
        <v>#REF!</v>
      </c>
      <c r="F162" s="78">
        <f t="shared" si="803"/>
        <v>140</v>
      </c>
      <c r="G162" s="78">
        <f t="shared" si="803"/>
        <v>5</v>
      </c>
      <c r="H162" s="78" t="e">
        <f t="shared" si="803"/>
        <v>#REF!</v>
      </c>
      <c r="I162" s="78">
        <f t="shared" si="803"/>
        <v>40</v>
      </c>
      <c r="J162" s="78">
        <f t="shared" si="803"/>
        <v>0</v>
      </c>
      <c r="K162" s="78">
        <f t="shared" si="803"/>
        <v>40</v>
      </c>
      <c r="L162" s="78">
        <f>+L160+L161</f>
        <v>100</v>
      </c>
      <c r="M162" s="78">
        <f t="shared" ref="M162:BI162" si="804">+M160+M161</f>
        <v>4</v>
      </c>
      <c r="N162" s="78">
        <f t="shared" si="804"/>
        <v>104</v>
      </c>
      <c r="O162" s="78">
        <f t="shared" si="804"/>
        <v>755</v>
      </c>
      <c r="P162" s="78">
        <f t="shared" si="804"/>
        <v>59</v>
      </c>
      <c r="Q162" s="78">
        <f t="shared" si="804"/>
        <v>814</v>
      </c>
      <c r="R162" s="78">
        <f t="shared" si="804"/>
        <v>118.75</v>
      </c>
      <c r="S162" s="78">
        <f t="shared" si="804"/>
        <v>7.5</v>
      </c>
      <c r="T162" s="78">
        <f t="shared" si="804"/>
        <v>35</v>
      </c>
      <c r="U162" s="78">
        <f t="shared" si="804"/>
        <v>0.75</v>
      </c>
      <c r="V162" s="78">
        <f t="shared" si="804"/>
        <v>10</v>
      </c>
      <c r="W162" s="78">
        <f t="shared" si="804"/>
        <v>0</v>
      </c>
      <c r="X162" s="78">
        <f t="shared" si="804"/>
        <v>25</v>
      </c>
      <c r="Y162" s="114">
        <f t="shared" si="804"/>
        <v>0.6</v>
      </c>
      <c r="Z162" s="78">
        <f t="shared" si="804"/>
        <v>84.080000000000013</v>
      </c>
      <c r="AA162" s="78">
        <f t="shared" si="804"/>
        <v>3.06</v>
      </c>
      <c r="AB162" s="78">
        <f t="shared" si="804"/>
        <v>22.4</v>
      </c>
      <c r="AC162" s="78">
        <f t="shared" si="804"/>
        <v>0.27</v>
      </c>
      <c r="AD162" s="78">
        <f t="shared" si="804"/>
        <v>6.4</v>
      </c>
      <c r="AE162" s="78">
        <f t="shared" si="804"/>
        <v>0</v>
      </c>
      <c r="AF162" s="78">
        <f t="shared" si="804"/>
        <v>0</v>
      </c>
      <c r="AG162" s="78">
        <f t="shared" si="804"/>
        <v>0</v>
      </c>
      <c r="AH162" s="78">
        <f t="shared" si="804"/>
        <v>34.68</v>
      </c>
      <c r="AI162" s="78">
        <f t="shared" si="804"/>
        <v>6</v>
      </c>
      <c r="AJ162" s="78">
        <f t="shared" si="804"/>
        <v>12.600000000000001</v>
      </c>
      <c r="AK162" s="78">
        <f t="shared" si="804"/>
        <v>0.6</v>
      </c>
      <c r="AL162" s="78">
        <f t="shared" si="804"/>
        <v>3.6</v>
      </c>
      <c r="AM162" s="78">
        <f t="shared" si="804"/>
        <v>0</v>
      </c>
      <c r="AN162" s="78">
        <f t="shared" si="804"/>
        <v>25</v>
      </c>
      <c r="AO162" s="78">
        <f t="shared" si="804"/>
        <v>0.52</v>
      </c>
      <c r="AP162" s="78">
        <f t="shared" si="804"/>
        <v>118.75</v>
      </c>
      <c r="AQ162" s="78">
        <f t="shared" si="804"/>
        <v>14.08</v>
      </c>
      <c r="AR162" s="78">
        <f t="shared" si="804"/>
        <v>35</v>
      </c>
      <c r="AS162" s="78">
        <f t="shared" si="804"/>
        <v>1.41</v>
      </c>
      <c r="AT162" s="78">
        <f t="shared" si="804"/>
        <v>10</v>
      </c>
      <c r="AU162" s="78">
        <f t="shared" si="804"/>
        <v>0</v>
      </c>
      <c r="AV162" s="78">
        <f t="shared" si="804"/>
        <v>25</v>
      </c>
      <c r="AW162" s="78">
        <f t="shared" si="804"/>
        <v>1.1299999999999999</v>
      </c>
      <c r="AX162" s="78">
        <f t="shared" si="804"/>
        <v>0</v>
      </c>
      <c r="AY162" s="78">
        <f t="shared" si="804"/>
        <v>0</v>
      </c>
      <c r="AZ162" s="78">
        <f t="shared" si="804"/>
        <v>356.26</v>
      </c>
      <c r="BA162" s="78">
        <f t="shared" si="804"/>
        <v>30.639999999999997</v>
      </c>
      <c r="BB162" s="78">
        <f t="shared" si="804"/>
        <v>105</v>
      </c>
      <c r="BC162" s="78">
        <f t="shared" si="804"/>
        <v>3.03</v>
      </c>
      <c r="BD162" s="78">
        <f t="shared" si="804"/>
        <v>30</v>
      </c>
      <c r="BE162" s="78">
        <f t="shared" si="804"/>
        <v>0</v>
      </c>
      <c r="BF162" s="78">
        <f t="shared" si="804"/>
        <v>75</v>
      </c>
      <c r="BG162" s="78">
        <f t="shared" si="804"/>
        <v>2.25</v>
      </c>
      <c r="BH162" s="78">
        <f t="shared" si="804"/>
        <v>0</v>
      </c>
      <c r="BI162" s="78">
        <f t="shared" si="804"/>
        <v>0</v>
      </c>
      <c r="BJ162" s="78"/>
      <c r="BK162" s="78"/>
      <c r="BL162" s="78">
        <f t="shared" ref="BL162" si="805">+BL160+BL161</f>
        <v>0</v>
      </c>
    </row>
    <row r="163" spans="1:68" ht="19.5" customHeight="1" x14ac:dyDescent="0.3">
      <c r="A163" s="15">
        <v>21</v>
      </c>
      <c r="B163" s="16" t="s">
        <v>113</v>
      </c>
      <c r="C163" s="17">
        <v>3880</v>
      </c>
      <c r="D163" s="17">
        <v>395</v>
      </c>
      <c r="E163" s="19" t="e">
        <f>C163+D163+#REF!+#REF!</f>
        <v>#REF!</v>
      </c>
      <c r="F163" s="17">
        <v>86</v>
      </c>
      <c r="G163" s="28">
        <v>10</v>
      </c>
      <c r="H163" s="19" t="e">
        <f>F163+G163+#REF!</f>
        <v>#REF!</v>
      </c>
      <c r="I163" s="17">
        <v>65</v>
      </c>
      <c r="J163" s="17">
        <v>2</v>
      </c>
      <c r="K163" s="19">
        <f t="shared" si="755"/>
        <v>67</v>
      </c>
      <c r="L163" s="28">
        <v>470</v>
      </c>
      <c r="M163" s="28">
        <v>30</v>
      </c>
      <c r="N163" s="19">
        <f t="shared" si="682"/>
        <v>500</v>
      </c>
      <c r="O163" s="19">
        <f t="shared" ref="O163:P165" si="806">C163+F163+I163+L163</f>
        <v>4501</v>
      </c>
      <c r="P163" s="20">
        <f t="shared" si="806"/>
        <v>437</v>
      </c>
      <c r="Q163" s="19">
        <f t="shared" si="640"/>
        <v>4938</v>
      </c>
      <c r="R163" s="17">
        <f t="shared" si="785"/>
        <v>970</v>
      </c>
      <c r="S163" s="17">
        <f t="shared" si="758"/>
        <v>59.25</v>
      </c>
      <c r="T163" s="17">
        <f t="shared" si="759"/>
        <v>21.5</v>
      </c>
      <c r="U163" s="17">
        <f t="shared" si="760"/>
        <v>1.5</v>
      </c>
      <c r="V163" s="17">
        <f t="shared" si="761"/>
        <v>16.25</v>
      </c>
      <c r="W163" s="17">
        <f t="shared" si="762"/>
        <v>0.3</v>
      </c>
      <c r="X163" s="17">
        <f t="shared" si="763"/>
        <v>117.5</v>
      </c>
      <c r="Y163" s="113">
        <f t="shared" si="764"/>
        <v>4.5</v>
      </c>
      <c r="Z163" s="127">
        <f t="shared" si="768"/>
        <v>686.76</v>
      </c>
      <c r="AA163" s="127">
        <f t="shared" si="769"/>
        <v>24.13</v>
      </c>
      <c r="AB163" s="127">
        <f t="shared" si="770"/>
        <v>13.76</v>
      </c>
      <c r="AC163" s="127">
        <f t="shared" si="771"/>
        <v>0.54</v>
      </c>
      <c r="AD163" s="127">
        <f t="shared" si="772"/>
        <v>10.4</v>
      </c>
      <c r="AE163" s="127">
        <f t="shared" si="773"/>
        <v>0.11</v>
      </c>
      <c r="AF163" s="127">
        <v>0</v>
      </c>
      <c r="AG163" s="127">
        <v>0</v>
      </c>
      <c r="AH163" s="127">
        <f>ROUND(C163*7.3%,2)+0.12</f>
        <v>283.36</v>
      </c>
      <c r="AI163" s="127">
        <f>ROUND(D163*12%,2)-2</f>
        <v>45.4</v>
      </c>
      <c r="AJ163" s="127">
        <f t="shared" si="776"/>
        <v>7.74</v>
      </c>
      <c r="AK163" s="127">
        <f t="shared" si="777"/>
        <v>1.2</v>
      </c>
      <c r="AL163" s="127">
        <f t="shared" si="786"/>
        <v>5.85</v>
      </c>
      <c r="AM163" s="127">
        <f>ROUND(J163*12%,2)+0.05</f>
        <v>0.28999999999999998</v>
      </c>
      <c r="AN163" s="127">
        <f t="shared" si="787"/>
        <v>117.5</v>
      </c>
      <c r="AO163" s="127">
        <f t="shared" si="788"/>
        <v>5.4</v>
      </c>
      <c r="AP163" s="127">
        <f t="shared" si="789"/>
        <v>970</v>
      </c>
      <c r="AQ163" s="127">
        <f t="shared" si="790"/>
        <v>111.19</v>
      </c>
      <c r="AR163" s="127">
        <f t="shared" si="791"/>
        <v>21.5</v>
      </c>
      <c r="AS163" s="127">
        <f t="shared" si="792"/>
        <v>2.82</v>
      </c>
      <c r="AT163" s="127">
        <f t="shared" si="793"/>
        <v>16.25</v>
      </c>
      <c r="AU163" s="127">
        <f t="shared" si="794"/>
        <v>0.56000000000000005</v>
      </c>
      <c r="AV163" s="127">
        <f t="shared" si="795"/>
        <v>117.5</v>
      </c>
      <c r="AW163" s="127">
        <f t="shared" si="796"/>
        <v>8.4499999999999993</v>
      </c>
      <c r="AX163" s="127"/>
      <c r="AY163" s="127"/>
      <c r="AZ163" s="127">
        <f t="shared" si="766"/>
        <v>2910.12</v>
      </c>
      <c r="BA163" s="127">
        <f t="shared" si="726"/>
        <v>239.97</v>
      </c>
      <c r="BB163" s="127">
        <f t="shared" si="767"/>
        <v>64.5</v>
      </c>
      <c r="BC163" s="127">
        <f t="shared" si="767"/>
        <v>6.06</v>
      </c>
      <c r="BD163" s="127">
        <f t="shared" si="767"/>
        <v>48.75</v>
      </c>
      <c r="BE163" s="127">
        <f t="shared" si="742"/>
        <v>1.26</v>
      </c>
      <c r="BF163" s="127">
        <f t="shared" si="741"/>
        <v>352.5</v>
      </c>
      <c r="BG163" s="127">
        <f t="shared" si="741"/>
        <v>18.350000000000001</v>
      </c>
      <c r="BH163" s="2"/>
      <c r="BI163" s="2"/>
      <c r="BJ163" s="2"/>
      <c r="BK163" s="2"/>
    </row>
    <row r="164" spans="1:68" ht="20.100000000000001" customHeight="1" x14ac:dyDescent="0.3">
      <c r="A164" s="15">
        <v>22</v>
      </c>
      <c r="B164" s="16" t="s">
        <v>114</v>
      </c>
      <c r="C164" s="17">
        <v>520</v>
      </c>
      <c r="D164" s="17">
        <v>45</v>
      </c>
      <c r="E164" s="19" t="e">
        <f>C164+D164+#REF!+#REF!</f>
        <v>#REF!</v>
      </c>
      <c r="F164" s="17">
        <v>25</v>
      </c>
      <c r="G164" s="28">
        <v>0</v>
      </c>
      <c r="H164" s="19" t="e">
        <f>F164+G164+#REF!</f>
        <v>#REF!</v>
      </c>
      <c r="I164" s="17">
        <v>0</v>
      </c>
      <c r="J164" s="17">
        <v>0</v>
      </c>
      <c r="K164" s="19">
        <f t="shared" si="755"/>
        <v>0</v>
      </c>
      <c r="L164" s="28">
        <v>50</v>
      </c>
      <c r="M164" s="28">
        <v>16</v>
      </c>
      <c r="N164" s="19">
        <f t="shared" si="682"/>
        <v>66</v>
      </c>
      <c r="O164" s="19">
        <f t="shared" si="806"/>
        <v>595</v>
      </c>
      <c r="P164" s="20">
        <f t="shared" si="806"/>
        <v>61</v>
      </c>
      <c r="Q164" s="19">
        <f t="shared" si="640"/>
        <v>656</v>
      </c>
      <c r="R164" s="17">
        <f t="shared" si="785"/>
        <v>130</v>
      </c>
      <c r="S164" s="17">
        <f t="shared" si="758"/>
        <v>6.75</v>
      </c>
      <c r="T164" s="17">
        <f t="shared" si="759"/>
        <v>6.25</v>
      </c>
      <c r="U164" s="17">
        <f t="shared" si="760"/>
        <v>0</v>
      </c>
      <c r="V164" s="17">
        <f t="shared" si="761"/>
        <v>0</v>
      </c>
      <c r="W164" s="17">
        <f t="shared" si="762"/>
        <v>0</v>
      </c>
      <c r="X164" s="17">
        <f t="shared" si="763"/>
        <v>12.5</v>
      </c>
      <c r="Y164" s="113">
        <f t="shared" si="764"/>
        <v>2.4</v>
      </c>
      <c r="Z164" s="127">
        <f t="shared" si="768"/>
        <v>92.04</v>
      </c>
      <c r="AA164" s="127">
        <f t="shared" si="769"/>
        <v>2.75</v>
      </c>
      <c r="AB164" s="127">
        <f t="shared" si="770"/>
        <v>4</v>
      </c>
      <c r="AC164" s="127">
        <f t="shared" si="771"/>
        <v>0</v>
      </c>
      <c r="AD164" s="127">
        <f t="shared" si="772"/>
        <v>0</v>
      </c>
      <c r="AE164" s="127">
        <f t="shared" si="773"/>
        <v>0</v>
      </c>
      <c r="AF164" s="127">
        <v>0</v>
      </c>
      <c r="AG164" s="127">
        <v>0</v>
      </c>
      <c r="AH164" s="127">
        <f t="shared" si="774"/>
        <v>37.96</v>
      </c>
      <c r="AI164" s="127">
        <f t="shared" si="775"/>
        <v>5.4</v>
      </c>
      <c r="AJ164" s="127">
        <f t="shared" si="776"/>
        <v>2.25</v>
      </c>
      <c r="AK164" s="127">
        <f t="shared" si="777"/>
        <v>0</v>
      </c>
      <c r="AL164" s="127">
        <f t="shared" si="786"/>
        <v>0</v>
      </c>
      <c r="AM164" s="127">
        <f t="shared" si="778"/>
        <v>0</v>
      </c>
      <c r="AN164" s="127">
        <f t="shared" si="787"/>
        <v>12.5</v>
      </c>
      <c r="AO164" s="127">
        <f t="shared" si="788"/>
        <v>2.88</v>
      </c>
      <c r="AP164" s="127">
        <f t="shared" si="789"/>
        <v>130</v>
      </c>
      <c r="AQ164" s="127">
        <f t="shared" si="790"/>
        <v>12.67</v>
      </c>
      <c r="AR164" s="127">
        <f t="shared" si="791"/>
        <v>6.25</v>
      </c>
      <c r="AS164" s="127">
        <f t="shared" si="792"/>
        <v>0</v>
      </c>
      <c r="AT164" s="127">
        <f t="shared" si="793"/>
        <v>0</v>
      </c>
      <c r="AU164" s="127">
        <f t="shared" si="794"/>
        <v>0</v>
      </c>
      <c r="AV164" s="127">
        <f t="shared" si="795"/>
        <v>12.5</v>
      </c>
      <c r="AW164" s="127">
        <f t="shared" si="796"/>
        <v>4.5</v>
      </c>
      <c r="AX164" s="127"/>
      <c r="AY164" s="127"/>
      <c r="AZ164" s="127">
        <f t="shared" si="766"/>
        <v>390</v>
      </c>
      <c r="BA164" s="127">
        <f t="shared" si="726"/>
        <v>27.57</v>
      </c>
      <c r="BB164" s="127">
        <f t="shared" si="767"/>
        <v>18.75</v>
      </c>
      <c r="BC164" s="127">
        <f t="shared" si="767"/>
        <v>0</v>
      </c>
      <c r="BD164" s="127">
        <f t="shared" si="767"/>
        <v>0</v>
      </c>
      <c r="BE164" s="127">
        <f t="shared" si="742"/>
        <v>0</v>
      </c>
      <c r="BF164" s="127">
        <f t="shared" si="741"/>
        <v>37.5</v>
      </c>
      <c r="BG164" s="127">
        <f t="shared" si="741"/>
        <v>9.7799999999999994</v>
      </c>
      <c r="BH164" s="2"/>
      <c r="BI164" s="2"/>
      <c r="BJ164" s="2"/>
      <c r="BK164" s="2"/>
    </row>
    <row r="165" spans="1:68" ht="20.100000000000001" customHeight="1" x14ac:dyDescent="0.3">
      <c r="A165" s="15">
        <v>23</v>
      </c>
      <c r="B165" s="16" t="s">
        <v>115</v>
      </c>
      <c r="C165" s="17">
        <v>150</v>
      </c>
      <c r="D165" s="17">
        <v>0</v>
      </c>
      <c r="E165" s="19" t="e">
        <f>C165+D165+#REF!+#REF!</f>
        <v>#REF!</v>
      </c>
      <c r="F165" s="17">
        <v>20</v>
      </c>
      <c r="G165" s="28">
        <v>5</v>
      </c>
      <c r="H165" s="19" t="e">
        <f>F165+G165+#REF!</f>
        <v>#REF!</v>
      </c>
      <c r="I165" s="17">
        <v>10</v>
      </c>
      <c r="J165" s="17">
        <v>0</v>
      </c>
      <c r="K165" s="19">
        <f t="shared" si="755"/>
        <v>10</v>
      </c>
      <c r="L165" s="28">
        <v>14</v>
      </c>
      <c r="M165" s="28">
        <v>3</v>
      </c>
      <c r="N165" s="19">
        <f t="shared" si="682"/>
        <v>17</v>
      </c>
      <c r="O165" s="19">
        <f t="shared" si="806"/>
        <v>194</v>
      </c>
      <c r="P165" s="20">
        <f t="shared" si="806"/>
        <v>8</v>
      </c>
      <c r="Q165" s="19">
        <f t="shared" si="640"/>
        <v>202</v>
      </c>
      <c r="R165" s="17">
        <f t="shared" si="785"/>
        <v>37.5</v>
      </c>
      <c r="S165" s="17">
        <f t="shared" si="758"/>
        <v>0</v>
      </c>
      <c r="T165" s="17">
        <f t="shared" si="759"/>
        <v>5</v>
      </c>
      <c r="U165" s="17">
        <f t="shared" si="760"/>
        <v>0.75</v>
      </c>
      <c r="V165" s="17">
        <f t="shared" si="761"/>
        <v>2.5</v>
      </c>
      <c r="W165" s="17">
        <f t="shared" si="762"/>
        <v>0</v>
      </c>
      <c r="X165" s="17">
        <f t="shared" si="763"/>
        <v>3.5</v>
      </c>
      <c r="Y165" s="113">
        <f t="shared" si="764"/>
        <v>0.45</v>
      </c>
      <c r="Z165" s="127">
        <f t="shared" si="768"/>
        <v>26.55</v>
      </c>
      <c r="AA165" s="127">
        <f t="shared" si="769"/>
        <v>0</v>
      </c>
      <c r="AB165" s="127">
        <f t="shared" si="770"/>
        <v>3.2</v>
      </c>
      <c r="AC165" s="127">
        <f t="shared" si="771"/>
        <v>0.27</v>
      </c>
      <c r="AD165" s="127">
        <f t="shared" si="772"/>
        <v>1.6</v>
      </c>
      <c r="AE165" s="127">
        <f t="shared" si="773"/>
        <v>0</v>
      </c>
      <c r="AF165" s="127">
        <v>0</v>
      </c>
      <c r="AG165" s="127">
        <v>0</v>
      </c>
      <c r="AH165" s="127">
        <f t="shared" si="774"/>
        <v>10.95</v>
      </c>
      <c r="AI165" s="127">
        <f t="shared" si="775"/>
        <v>0</v>
      </c>
      <c r="AJ165" s="127">
        <f t="shared" si="776"/>
        <v>1.8</v>
      </c>
      <c r="AK165" s="127">
        <f t="shared" si="777"/>
        <v>0.6</v>
      </c>
      <c r="AL165" s="127">
        <f t="shared" si="786"/>
        <v>0.9</v>
      </c>
      <c r="AM165" s="127">
        <f t="shared" si="778"/>
        <v>0</v>
      </c>
      <c r="AN165" s="127">
        <f t="shared" si="787"/>
        <v>3.5</v>
      </c>
      <c r="AO165" s="127">
        <f t="shared" si="788"/>
        <v>0.54</v>
      </c>
      <c r="AP165" s="127">
        <f t="shared" si="789"/>
        <v>37.5</v>
      </c>
      <c r="AQ165" s="127">
        <f t="shared" si="790"/>
        <v>0</v>
      </c>
      <c r="AR165" s="127">
        <f t="shared" si="791"/>
        <v>5</v>
      </c>
      <c r="AS165" s="127">
        <f t="shared" si="792"/>
        <v>1.41</v>
      </c>
      <c r="AT165" s="127">
        <f t="shared" si="793"/>
        <v>2.5</v>
      </c>
      <c r="AU165" s="127">
        <f t="shared" si="794"/>
        <v>0</v>
      </c>
      <c r="AV165" s="127">
        <f t="shared" si="795"/>
        <v>3.5</v>
      </c>
      <c r="AW165" s="127">
        <f t="shared" si="796"/>
        <v>0.84</v>
      </c>
      <c r="AX165" s="127"/>
      <c r="AY165" s="127"/>
      <c r="AZ165" s="127">
        <f t="shared" si="766"/>
        <v>112.5</v>
      </c>
      <c r="BA165" s="127">
        <f t="shared" si="726"/>
        <v>0</v>
      </c>
      <c r="BB165" s="127">
        <f t="shared" si="767"/>
        <v>15</v>
      </c>
      <c r="BC165" s="127">
        <f t="shared" si="767"/>
        <v>3.03</v>
      </c>
      <c r="BD165" s="127">
        <f t="shared" si="767"/>
        <v>7.5</v>
      </c>
      <c r="BE165" s="127">
        <f t="shared" si="742"/>
        <v>0</v>
      </c>
      <c r="BF165" s="127">
        <f t="shared" si="741"/>
        <v>10.5</v>
      </c>
      <c r="BG165" s="127">
        <f t="shared" si="741"/>
        <v>1.8299999999999998</v>
      </c>
      <c r="BH165" s="2"/>
      <c r="BI165" s="2"/>
      <c r="BJ165" s="2"/>
      <c r="BK165" s="2"/>
    </row>
    <row r="166" spans="1:68" s="6" customFormat="1" ht="20.100000000000001" customHeight="1" x14ac:dyDescent="0.3">
      <c r="A166" s="76"/>
      <c r="B166" s="77" t="s">
        <v>114</v>
      </c>
      <c r="C166" s="78">
        <f>+C164+C165</f>
        <v>670</v>
      </c>
      <c r="D166" s="78">
        <f t="shared" ref="D166:J166" si="807">+D164+D165</f>
        <v>45</v>
      </c>
      <c r="E166" s="78" t="e">
        <f t="shared" si="807"/>
        <v>#REF!</v>
      </c>
      <c r="F166" s="78">
        <f t="shared" si="807"/>
        <v>45</v>
      </c>
      <c r="G166" s="78">
        <f t="shared" si="807"/>
        <v>5</v>
      </c>
      <c r="H166" s="78" t="e">
        <f t="shared" si="807"/>
        <v>#REF!</v>
      </c>
      <c r="I166" s="78">
        <f t="shared" si="807"/>
        <v>10</v>
      </c>
      <c r="J166" s="78">
        <f t="shared" si="807"/>
        <v>0</v>
      </c>
      <c r="K166" s="78">
        <f>+K164+K165</f>
        <v>10</v>
      </c>
      <c r="L166" s="78">
        <f t="shared" ref="L166" si="808">+L164+L165</f>
        <v>64</v>
      </c>
      <c r="M166" s="78">
        <f t="shared" ref="M166:BG166" si="809">+M164+M165</f>
        <v>19</v>
      </c>
      <c r="N166" s="78">
        <f t="shared" si="809"/>
        <v>83</v>
      </c>
      <c r="O166" s="78">
        <f t="shared" si="809"/>
        <v>789</v>
      </c>
      <c r="P166" s="78">
        <f t="shared" si="809"/>
        <v>69</v>
      </c>
      <c r="Q166" s="78">
        <f t="shared" si="809"/>
        <v>858</v>
      </c>
      <c r="R166" s="78">
        <f t="shared" si="809"/>
        <v>167.5</v>
      </c>
      <c r="S166" s="78">
        <f t="shared" si="809"/>
        <v>6.75</v>
      </c>
      <c r="T166" s="78">
        <f t="shared" si="809"/>
        <v>11.25</v>
      </c>
      <c r="U166" s="78">
        <f t="shared" si="809"/>
        <v>0.75</v>
      </c>
      <c r="V166" s="78">
        <f t="shared" si="809"/>
        <v>2.5</v>
      </c>
      <c r="W166" s="78">
        <f t="shared" si="809"/>
        <v>0</v>
      </c>
      <c r="X166" s="78">
        <f t="shared" si="809"/>
        <v>16</v>
      </c>
      <c r="Y166" s="114">
        <f t="shared" si="809"/>
        <v>2.85</v>
      </c>
      <c r="Z166" s="78">
        <f t="shared" si="809"/>
        <v>118.59</v>
      </c>
      <c r="AA166" s="78">
        <f t="shared" si="809"/>
        <v>2.75</v>
      </c>
      <c r="AB166" s="78">
        <f t="shared" si="809"/>
        <v>7.2</v>
      </c>
      <c r="AC166" s="78">
        <f t="shared" si="809"/>
        <v>0.27</v>
      </c>
      <c r="AD166" s="78">
        <f t="shared" si="809"/>
        <v>1.6</v>
      </c>
      <c r="AE166" s="78">
        <f t="shared" si="809"/>
        <v>0</v>
      </c>
      <c r="AF166" s="78">
        <f t="shared" si="809"/>
        <v>0</v>
      </c>
      <c r="AG166" s="78">
        <f t="shared" si="809"/>
        <v>0</v>
      </c>
      <c r="AH166" s="78">
        <f t="shared" si="809"/>
        <v>48.91</v>
      </c>
      <c r="AI166" s="78">
        <f t="shared" si="809"/>
        <v>5.4</v>
      </c>
      <c r="AJ166" s="78">
        <f t="shared" si="809"/>
        <v>4.05</v>
      </c>
      <c r="AK166" s="78">
        <f t="shared" si="809"/>
        <v>0.6</v>
      </c>
      <c r="AL166" s="78">
        <f t="shared" si="809"/>
        <v>0.9</v>
      </c>
      <c r="AM166" s="78">
        <f t="shared" si="809"/>
        <v>0</v>
      </c>
      <c r="AN166" s="78">
        <f t="shared" si="809"/>
        <v>16</v>
      </c>
      <c r="AO166" s="78">
        <f t="shared" si="809"/>
        <v>3.42</v>
      </c>
      <c r="AP166" s="78">
        <f t="shared" si="809"/>
        <v>167.5</v>
      </c>
      <c r="AQ166" s="78">
        <f t="shared" si="809"/>
        <v>12.67</v>
      </c>
      <c r="AR166" s="78">
        <f t="shared" si="809"/>
        <v>11.25</v>
      </c>
      <c r="AS166" s="78">
        <f t="shared" si="809"/>
        <v>1.41</v>
      </c>
      <c r="AT166" s="78">
        <f t="shared" si="809"/>
        <v>2.5</v>
      </c>
      <c r="AU166" s="78">
        <f t="shared" si="809"/>
        <v>0</v>
      </c>
      <c r="AV166" s="78">
        <f t="shared" si="809"/>
        <v>16</v>
      </c>
      <c r="AW166" s="78">
        <f t="shared" si="809"/>
        <v>5.34</v>
      </c>
      <c r="AX166" s="78">
        <f t="shared" si="809"/>
        <v>0</v>
      </c>
      <c r="AY166" s="78">
        <f t="shared" si="809"/>
        <v>0</v>
      </c>
      <c r="AZ166" s="78">
        <f t="shared" si="809"/>
        <v>502.5</v>
      </c>
      <c r="BA166" s="78">
        <f t="shared" si="809"/>
        <v>27.57</v>
      </c>
      <c r="BB166" s="78">
        <f t="shared" si="809"/>
        <v>33.75</v>
      </c>
      <c r="BC166" s="78">
        <f t="shared" si="809"/>
        <v>3.03</v>
      </c>
      <c r="BD166" s="78">
        <f t="shared" si="809"/>
        <v>7.5</v>
      </c>
      <c r="BE166" s="78">
        <f t="shared" si="809"/>
        <v>0</v>
      </c>
      <c r="BF166" s="78">
        <f t="shared" si="809"/>
        <v>48</v>
      </c>
      <c r="BG166" s="78">
        <f t="shared" si="809"/>
        <v>11.61</v>
      </c>
      <c r="BH166" s="78"/>
      <c r="BI166" s="78"/>
      <c r="BJ166" s="78"/>
      <c r="BK166" s="78"/>
    </row>
    <row r="167" spans="1:68" ht="20.100000000000001" customHeight="1" x14ac:dyDescent="0.3">
      <c r="A167" s="15">
        <v>24</v>
      </c>
      <c r="B167" s="16" t="s">
        <v>116</v>
      </c>
      <c r="C167" s="17">
        <v>390</v>
      </c>
      <c r="D167" s="17">
        <v>125</v>
      </c>
      <c r="E167" s="19" t="e">
        <f>C167+D167+#REF!+#REF!</f>
        <v>#REF!</v>
      </c>
      <c r="F167" s="17">
        <v>0</v>
      </c>
      <c r="G167" s="28">
        <v>0</v>
      </c>
      <c r="H167" s="19" t="e">
        <f>F167+G167+#REF!</f>
        <v>#REF!</v>
      </c>
      <c r="I167" s="17">
        <v>20</v>
      </c>
      <c r="J167" s="17">
        <v>2</v>
      </c>
      <c r="K167" s="19">
        <f t="shared" si="755"/>
        <v>22</v>
      </c>
      <c r="L167" s="28">
        <v>40</v>
      </c>
      <c r="M167" s="28">
        <v>10</v>
      </c>
      <c r="N167" s="19">
        <f t="shared" si="682"/>
        <v>50</v>
      </c>
      <c r="O167" s="19">
        <f t="shared" ref="O167:P169" si="810">C167+F167+I167+L167</f>
        <v>450</v>
      </c>
      <c r="P167" s="20">
        <f t="shared" si="810"/>
        <v>137</v>
      </c>
      <c r="Q167" s="19">
        <f t="shared" si="640"/>
        <v>587</v>
      </c>
      <c r="R167" s="17">
        <f t="shared" si="785"/>
        <v>97.5</v>
      </c>
      <c r="S167" s="17">
        <f t="shared" si="758"/>
        <v>18.75</v>
      </c>
      <c r="T167" s="17">
        <f t="shared" si="759"/>
        <v>0</v>
      </c>
      <c r="U167" s="17">
        <f t="shared" si="760"/>
        <v>0</v>
      </c>
      <c r="V167" s="17">
        <f t="shared" si="761"/>
        <v>5</v>
      </c>
      <c r="W167" s="17">
        <f t="shared" si="762"/>
        <v>0.3</v>
      </c>
      <c r="X167" s="17">
        <f t="shared" si="763"/>
        <v>10</v>
      </c>
      <c r="Y167" s="113">
        <f t="shared" si="764"/>
        <v>1.5</v>
      </c>
      <c r="Z167" s="127">
        <f t="shared" si="768"/>
        <v>69.03</v>
      </c>
      <c r="AA167" s="127">
        <f t="shared" si="769"/>
        <v>7.64</v>
      </c>
      <c r="AB167" s="127">
        <f t="shared" si="770"/>
        <v>0</v>
      </c>
      <c r="AC167" s="127">
        <f t="shared" si="771"/>
        <v>0</v>
      </c>
      <c r="AD167" s="127">
        <f t="shared" si="772"/>
        <v>3.2</v>
      </c>
      <c r="AE167" s="127">
        <f t="shared" si="773"/>
        <v>0.11</v>
      </c>
      <c r="AF167" s="127">
        <v>0</v>
      </c>
      <c r="AG167" s="127">
        <v>0</v>
      </c>
      <c r="AH167" s="127">
        <f t="shared" si="774"/>
        <v>28.47</v>
      </c>
      <c r="AI167" s="127">
        <f t="shared" si="775"/>
        <v>15</v>
      </c>
      <c r="AJ167" s="127">
        <f t="shared" si="776"/>
        <v>0</v>
      </c>
      <c r="AK167" s="127">
        <f t="shared" si="777"/>
        <v>0</v>
      </c>
      <c r="AL167" s="127">
        <f t="shared" si="786"/>
        <v>1.8</v>
      </c>
      <c r="AM167" s="127">
        <f>ROUND(J167*12%,2)+0.01</f>
        <v>0.25</v>
      </c>
      <c r="AN167" s="127">
        <f t="shared" si="787"/>
        <v>10</v>
      </c>
      <c r="AO167" s="127">
        <f t="shared" si="788"/>
        <v>1.8</v>
      </c>
      <c r="AP167" s="127">
        <f t="shared" si="789"/>
        <v>97.5</v>
      </c>
      <c r="AQ167" s="127">
        <f t="shared" si="790"/>
        <v>35.19</v>
      </c>
      <c r="AR167" s="127">
        <f t="shared" si="791"/>
        <v>0</v>
      </c>
      <c r="AS167" s="127">
        <f t="shared" si="792"/>
        <v>0</v>
      </c>
      <c r="AT167" s="127">
        <f t="shared" si="793"/>
        <v>5</v>
      </c>
      <c r="AU167" s="127">
        <f t="shared" si="794"/>
        <v>0.56000000000000005</v>
      </c>
      <c r="AV167" s="127">
        <f t="shared" si="795"/>
        <v>10</v>
      </c>
      <c r="AW167" s="127">
        <f t="shared" si="796"/>
        <v>2.82</v>
      </c>
      <c r="AX167" s="127"/>
      <c r="AY167" s="127"/>
      <c r="AZ167" s="127">
        <f t="shared" si="766"/>
        <v>292.5</v>
      </c>
      <c r="BA167" s="127">
        <f t="shared" si="726"/>
        <v>76.58</v>
      </c>
      <c r="BB167" s="127">
        <f t="shared" si="767"/>
        <v>0</v>
      </c>
      <c r="BC167" s="127">
        <f t="shared" si="767"/>
        <v>0</v>
      </c>
      <c r="BD167" s="127">
        <f t="shared" si="767"/>
        <v>15</v>
      </c>
      <c r="BE167" s="127">
        <f t="shared" si="742"/>
        <v>1.22</v>
      </c>
      <c r="BF167" s="127">
        <f t="shared" si="741"/>
        <v>30</v>
      </c>
      <c r="BG167" s="127">
        <f t="shared" si="741"/>
        <v>6.12</v>
      </c>
      <c r="BH167" s="2"/>
      <c r="BI167" s="2"/>
      <c r="BJ167" s="2"/>
      <c r="BK167" s="2"/>
    </row>
    <row r="168" spans="1:68" ht="20.100000000000001" customHeight="1" x14ac:dyDescent="0.3">
      <c r="A168" s="15">
        <v>25</v>
      </c>
      <c r="B168" s="16" t="s">
        <v>117</v>
      </c>
      <c r="C168" s="17">
        <v>568</v>
      </c>
      <c r="D168" s="17">
        <v>40</v>
      </c>
      <c r="E168" s="19" t="e">
        <f>C168+D168+#REF!+#REF!</f>
        <v>#REF!</v>
      </c>
      <c r="F168" s="17">
        <v>20</v>
      </c>
      <c r="G168" s="28">
        <v>5</v>
      </c>
      <c r="H168" s="19" t="e">
        <f>F168+G168+#REF!</f>
        <v>#REF!</v>
      </c>
      <c r="I168" s="17">
        <v>2</v>
      </c>
      <c r="J168" s="17">
        <v>0</v>
      </c>
      <c r="K168" s="19">
        <f t="shared" si="755"/>
        <v>2</v>
      </c>
      <c r="L168" s="28">
        <v>25</v>
      </c>
      <c r="M168" s="28">
        <v>5</v>
      </c>
      <c r="N168" s="19">
        <f t="shared" si="682"/>
        <v>30</v>
      </c>
      <c r="O168" s="19">
        <f t="shared" si="810"/>
        <v>615</v>
      </c>
      <c r="P168" s="20">
        <f t="shared" si="810"/>
        <v>50</v>
      </c>
      <c r="Q168" s="19">
        <f t="shared" si="640"/>
        <v>665</v>
      </c>
      <c r="R168" s="17">
        <f t="shared" si="785"/>
        <v>142</v>
      </c>
      <c r="S168" s="17">
        <f t="shared" si="758"/>
        <v>6</v>
      </c>
      <c r="T168" s="17">
        <f t="shared" si="759"/>
        <v>5</v>
      </c>
      <c r="U168" s="17">
        <f t="shared" si="760"/>
        <v>0.75</v>
      </c>
      <c r="V168" s="17">
        <f t="shared" si="761"/>
        <v>0.5</v>
      </c>
      <c r="W168" s="17">
        <f t="shared" si="762"/>
        <v>0</v>
      </c>
      <c r="X168" s="17">
        <f t="shared" si="763"/>
        <v>6.25</v>
      </c>
      <c r="Y168" s="113">
        <f t="shared" si="764"/>
        <v>0.75</v>
      </c>
      <c r="Z168" s="127">
        <f t="shared" si="768"/>
        <v>100.54</v>
      </c>
      <c r="AA168" s="127">
        <f t="shared" si="769"/>
        <v>2.44</v>
      </c>
      <c r="AB168" s="127">
        <f t="shared" si="770"/>
        <v>3.2</v>
      </c>
      <c r="AC168" s="127">
        <f>ROUND(G168*5.41%,2)-0.02</f>
        <v>0.25</v>
      </c>
      <c r="AD168" s="127">
        <f t="shared" si="772"/>
        <v>0.32</v>
      </c>
      <c r="AE168" s="127">
        <f t="shared" si="773"/>
        <v>0</v>
      </c>
      <c r="AF168" s="127">
        <v>0</v>
      </c>
      <c r="AG168" s="127">
        <v>0</v>
      </c>
      <c r="AH168" s="127">
        <f t="shared" si="774"/>
        <v>41.46</v>
      </c>
      <c r="AI168" s="127">
        <f t="shared" si="775"/>
        <v>4.8</v>
      </c>
      <c r="AJ168" s="127">
        <f t="shared" si="776"/>
        <v>1.8</v>
      </c>
      <c r="AK168" s="127">
        <f t="shared" si="777"/>
        <v>0.6</v>
      </c>
      <c r="AL168" s="127">
        <f t="shared" si="786"/>
        <v>0.18</v>
      </c>
      <c r="AM168" s="127">
        <f t="shared" si="778"/>
        <v>0</v>
      </c>
      <c r="AN168" s="127">
        <f t="shared" si="787"/>
        <v>6.25</v>
      </c>
      <c r="AO168" s="127">
        <f t="shared" si="788"/>
        <v>0.9</v>
      </c>
      <c r="AP168" s="127">
        <f t="shared" si="789"/>
        <v>142</v>
      </c>
      <c r="AQ168" s="127">
        <f t="shared" si="790"/>
        <v>11.26</v>
      </c>
      <c r="AR168" s="127">
        <f t="shared" si="791"/>
        <v>5</v>
      </c>
      <c r="AS168" s="127">
        <f t="shared" si="792"/>
        <v>1.41</v>
      </c>
      <c r="AT168" s="127">
        <f t="shared" si="793"/>
        <v>0.5</v>
      </c>
      <c r="AU168" s="127">
        <f t="shared" si="794"/>
        <v>0</v>
      </c>
      <c r="AV168" s="127">
        <f t="shared" si="795"/>
        <v>6.25</v>
      </c>
      <c r="AW168" s="127">
        <f t="shared" si="796"/>
        <v>1.41</v>
      </c>
      <c r="AX168" s="127"/>
      <c r="AY168" s="127"/>
      <c r="AZ168" s="127">
        <f t="shared" si="766"/>
        <v>426</v>
      </c>
      <c r="BA168" s="127">
        <f t="shared" si="726"/>
        <v>24.5</v>
      </c>
      <c r="BB168" s="127">
        <f t="shared" si="767"/>
        <v>15</v>
      </c>
      <c r="BC168" s="127">
        <f t="shared" si="767"/>
        <v>3.01</v>
      </c>
      <c r="BD168" s="127">
        <f t="shared" si="767"/>
        <v>1.5</v>
      </c>
      <c r="BE168" s="127">
        <f t="shared" si="742"/>
        <v>0</v>
      </c>
      <c r="BF168" s="127">
        <f t="shared" si="741"/>
        <v>18.75</v>
      </c>
      <c r="BG168" s="127">
        <f t="shared" si="741"/>
        <v>3.06</v>
      </c>
      <c r="BH168" s="2"/>
      <c r="BI168" s="2"/>
      <c r="BJ168" s="2"/>
      <c r="BK168" s="2"/>
    </row>
    <row r="169" spans="1:68" ht="20.100000000000001" customHeight="1" x14ac:dyDescent="0.3">
      <c r="A169" s="15">
        <v>26</v>
      </c>
      <c r="B169" s="16" t="s">
        <v>118</v>
      </c>
      <c r="C169" s="17">
        <v>195</v>
      </c>
      <c r="D169" s="17">
        <v>30</v>
      </c>
      <c r="E169" s="19" t="e">
        <f>C169+D169+#REF!+#REF!</f>
        <v>#REF!</v>
      </c>
      <c r="F169" s="17">
        <v>0</v>
      </c>
      <c r="G169" s="28">
        <v>0</v>
      </c>
      <c r="H169" s="19" t="e">
        <f>F169+G169+#REF!</f>
        <v>#REF!</v>
      </c>
      <c r="I169" s="17">
        <v>0</v>
      </c>
      <c r="J169" s="17">
        <v>0</v>
      </c>
      <c r="K169" s="19">
        <f t="shared" si="755"/>
        <v>0</v>
      </c>
      <c r="L169" s="28">
        <v>20</v>
      </c>
      <c r="M169" s="28">
        <v>2</v>
      </c>
      <c r="N169" s="19">
        <f t="shared" si="682"/>
        <v>22</v>
      </c>
      <c r="O169" s="19">
        <f t="shared" si="810"/>
        <v>215</v>
      </c>
      <c r="P169" s="20">
        <f t="shared" si="810"/>
        <v>32</v>
      </c>
      <c r="Q169" s="19">
        <f t="shared" si="640"/>
        <v>247</v>
      </c>
      <c r="R169" s="17">
        <f t="shared" si="785"/>
        <v>48.75</v>
      </c>
      <c r="S169" s="17">
        <f t="shared" si="758"/>
        <v>4.5</v>
      </c>
      <c r="T169" s="17">
        <f t="shared" si="759"/>
        <v>0</v>
      </c>
      <c r="U169" s="17">
        <f t="shared" si="760"/>
        <v>0</v>
      </c>
      <c r="V169" s="17">
        <f t="shared" si="761"/>
        <v>0</v>
      </c>
      <c r="W169" s="17">
        <f t="shared" si="762"/>
        <v>0</v>
      </c>
      <c r="X169" s="17">
        <f t="shared" si="763"/>
        <v>5</v>
      </c>
      <c r="Y169" s="113">
        <f t="shared" si="764"/>
        <v>0.3</v>
      </c>
      <c r="Z169" s="127">
        <f t="shared" si="768"/>
        <v>34.520000000000003</v>
      </c>
      <c r="AA169" s="127">
        <f t="shared" si="769"/>
        <v>1.83</v>
      </c>
      <c r="AB169" s="127">
        <f t="shared" si="770"/>
        <v>0</v>
      </c>
      <c r="AC169" s="127">
        <f t="shared" si="771"/>
        <v>0</v>
      </c>
      <c r="AD169" s="127">
        <f t="shared" si="772"/>
        <v>0</v>
      </c>
      <c r="AE169" s="127">
        <f t="shared" si="773"/>
        <v>0</v>
      </c>
      <c r="AF169" s="127">
        <v>0</v>
      </c>
      <c r="AG169" s="127">
        <v>0</v>
      </c>
      <c r="AH169" s="127">
        <f t="shared" si="774"/>
        <v>14.24</v>
      </c>
      <c r="AI169" s="127">
        <f t="shared" si="775"/>
        <v>3.6</v>
      </c>
      <c r="AJ169" s="127">
        <f t="shared" si="776"/>
        <v>0</v>
      </c>
      <c r="AK169" s="127">
        <f t="shared" si="777"/>
        <v>0</v>
      </c>
      <c r="AL169" s="127">
        <f t="shared" si="786"/>
        <v>0</v>
      </c>
      <c r="AM169" s="127">
        <f t="shared" si="778"/>
        <v>0</v>
      </c>
      <c r="AN169" s="127">
        <f t="shared" si="787"/>
        <v>5</v>
      </c>
      <c r="AO169" s="127">
        <f t="shared" si="788"/>
        <v>0.36</v>
      </c>
      <c r="AP169" s="127">
        <f t="shared" si="789"/>
        <v>48.75</v>
      </c>
      <c r="AQ169" s="127">
        <f t="shared" si="790"/>
        <v>8.4499999999999993</v>
      </c>
      <c r="AR169" s="127">
        <f t="shared" si="791"/>
        <v>0</v>
      </c>
      <c r="AS169" s="127">
        <f t="shared" si="792"/>
        <v>0</v>
      </c>
      <c r="AT169" s="127">
        <f t="shared" si="793"/>
        <v>0</v>
      </c>
      <c r="AU169" s="127">
        <f t="shared" si="794"/>
        <v>0</v>
      </c>
      <c r="AV169" s="127">
        <f t="shared" si="795"/>
        <v>5</v>
      </c>
      <c r="AW169" s="127">
        <f t="shared" si="796"/>
        <v>0.56000000000000005</v>
      </c>
      <c r="AX169" s="127"/>
      <c r="AY169" s="127"/>
      <c r="AZ169" s="127">
        <f t="shared" si="766"/>
        <v>146.26</v>
      </c>
      <c r="BA169" s="127">
        <f t="shared" si="726"/>
        <v>18.38</v>
      </c>
      <c r="BB169" s="127">
        <f t="shared" si="767"/>
        <v>0</v>
      </c>
      <c r="BC169" s="127">
        <f t="shared" si="767"/>
        <v>0</v>
      </c>
      <c r="BD169" s="127">
        <f t="shared" si="767"/>
        <v>0</v>
      </c>
      <c r="BE169" s="127">
        <f t="shared" si="742"/>
        <v>0</v>
      </c>
      <c r="BF169" s="127">
        <f t="shared" si="741"/>
        <v>15</v>
      </c>
      <c r="BG169" s="127">
        <f t="shared" si="741"/>
        <v>1.22</v>
      </c>
      <c r="BH169" s="2"/>
      <c r="BI169" s="2"/>
      <c r="BJ169" s="2"/>
      <c r="BK169" s="2"/>
    </row>
    <row r="170" spans="1:68" s="6" customFormat="1" ht="20.100000000000001" customHeight="1" x14ac:dyDescent="0.3">
      <c r="A170" s="76"/>
      <c r="B170" s="77" t="s">
        <v>117</v>
      </c>
      <c r="C170" s="78">
        <f>+C168+C169</f>
        <v>763</v>
      </c>
      <c r="D170" s="78">
        <f t="shared" ref="D170:I170" si="811">+D168+D169</f>
        <v>70</v>
      </c>
      <c r="E170" s="78" t="e">
        <f t="shared" si="811"/>
        <v>#REF!</v>
      </c>
      <c r="F170" s="78">
        <f t="shared" si="811"/>
        <v>20</v>
      </c>
      <c r="G170" s="78">
        <f t="shared" si="811"/>
        <v>5</v>
      </c>
      <c r="H170" s="78" t="e">
        <f t="shared" si="811"/>
        <v>#REF!</v>
      </c>
      <c r="I170" s="78">
        <f t="shared" si="811"/>
        <v>2</v>
      </c>
      <c r="J170" s="78">
        <f>+J168+J169</f>
        <v>0</v>
      </c>
      <c r="K170" s="78">
        <f t="shared" ref="K170" si="812">+K168+K169</f>
        <v>2</v>
      </c>
      <c r="L170" s="78">
        <f t="shared" ref="L170" si="813">+L168+L169</f>
        <v>45</v>
      </c>
      <c r="M170" s="78">
        <f t="shared" ref="M170:BG170" si="814">+M168+M169</f>
        <v>7</v>
      </c>
      <c r="N170" s="78">
        <f t="shared" si="814"/>
        <v>52</v>
      </c>
      <c r="O170" s="78">
        <f t="shared" si="814"/>
        <v>830</v>
      </c>
      <c r="P170" s="78">
        <f t="shared" si="814"/>
        <v>82</v>
      </c>
      <c r="Q170" s="78">
        <f t="shared" si="814"/>
        <v>912</v>
      </c>
      <c r="R170" s="78">
        <f t="shared" si="814"/>
        <v>190.75</v>
      </c>
      <c r="S170" s="78">
        <f t="shared" si="814"/>
        <v>10.5</v>
      </c>
      <c r="T170" s="78">
        <f t="shared" si="814"/>
        <v>5</v>
      </c>
      <c r="U170" s="78">
        <f t="shared" si="814"/>
        <v>0.75</v>
      </c>
      <c r="V170" s="78">
        <f t="shared" si="814"/>
        <v>0.5</v>
      </c>
      <c r="W170" s="78">
        <f t="shared" si="814"/>
        <v>0</v>
      </c>
      <c r="X170" s="78">
        <f t="shared" si="814"/>
        <v>11.25</v>
      </c>
      <c r="Y170" s="114">
        <f t="shared" si="814"/>
        <v>1.05</v>
      </c>
      <c r="Z170" s="78">
        <f t="shared" si="814"/>
        <v>135.06</v>
      </c>
      <c r="AA170" s="78">
        <f t="shared" si="814"/>
        <v>4.2699999999999996</v>
      </c>
      <c r="AB170" s="78">
        <f t="shared" si="814"/>
        <v>3.2</v>
      </c>
      <c r="AC170" s="78">
        <f t="shared" si="814"/>
        <v>0.25</v>
      </c>
      <c r="AD170" s="78">
        <f t="shared" si="814"/>
        <v>0.32</v>
      </c>
      <c r="AE170" s="78">
        <f t="shared" si="814"/>
        <v>0</v>
      </c>
      <c r="AF170" s="78">
        <f t="shared" si="814"/>
        <v>0</v>
      </c>
      <c r="AG170" s="78">
        <f t="shared" si="814"/>
        <v>0</v>
      </c>
      <c r="AH170" s="78">
        <f t="shared" si="814"/>
        <v>55.7</v>
      </c>
      <c r="AI170" s="78">
        <f t="shared" si="814"/>
        <v>8.4</v>
      </c>
      <c r="AJ170" s="78">
        <f t="shared" si="814"/>
        <v>1.8</v>
      </c>
      <c r="AK170" s="78">
        <f t="shared" si="814"/>
        <v>0.6</v>
      </c>
      <c r="AL170" s="78">
        <f t="shared" si="814"/>
        <v>0.18</v>
      </c>
      <c r="AM170" s="78">
        <f t="shared" si="814"/>
        <v>0</v>
      </c>
      <c r="AN170" s="78">
        <f t="shared" si="814"/>
        <v>11.25</v>
      </c>
      <c r="AO170" s="78">
        <f t="shared" si="814"/>
        <v>1.26</v>
      </c>
      <c r="AP170" s="78">
        <f t="shared" si="814"/>
        <v>190.75</v>
      </c>
      <c r="AQ170" s="78">
        <f t="shared" si="814"/>
        <v>19.71</v>
      </c>
      <c r="AR170" s="78">
        <f t="shared" si="814"/>
        <v>5</v>
      </c>
      <c r="AS170" s="78">
        <f t="shared" si="814"/>
        <v>1.41</v>
      </c>
      <c r="AT170" s="78">
        <f t="shared" si="814"/>
        <v>0.5</v>
      </c>
      <c r="AU170" s="78">
        <f t="shared" si="814"/>
        <v>0</v>
      </c>
      <c r="AV170" s="78">
        <f t="shared" si="814"/>
        <v>11.25</v>
      </c>
      <c r="AW170" s="78">
        <f t="shared" si="814"/>
        <v>1.97</v>
      </c>
      <c r="AX170" s="78">
        <f t="shared" si="814"/>
        <v>0</v>
      </c>
      <c r="AY170" s="78">
        <f t="shared" si="814"/>
        <v>0</v>
      </c>
      <c r="AZ170" s="78">
        <f t="shared" si="814"/>
        <v>572.26</v>
      </c>
      <c r="BA170" s="78">
        <f t="shared" si="814"/>
        <v>42.879999999999995</v>
      </c>
      <c r="BB170" s="78">
        <f t="shared" si="814"/>
        <v>15</v>
      </c>
      <c r="BC170" s="78">
        <f t="shared" si="814"/>
        <v>3.01</v>
      </c>
      <c r="BD170" s="78">
        <f t="shared" si="814"/>
        <v>1.5</v>
      </c>
      <c r="BE170" s="78">
        <f t="shared" si="814"/>
        <v>0</v>
      </c>
      <c r="BF170" s="78">
        <f t="shared" si="814"/>
        <v>33.75</v>
      </c>
      <c r="BG170" s="78">
        <f t="shared" si="814"/>
        <v>4.28</v>
      </c>
      <c r="BH170" s="78"/>
      <c r="BI170" s="78"/>
      <c r="BJ170" s="78"/>
      <c r="BK170" s="78"/>
      <c r="BL170" s="78">
        <f t="shared" ref="BL170:BP170" si="815">+BL168+BL169</f>
        <v>0</v>
      </c>
      <c r="BM170" s="78">
        <f t="shared" si="815"/>
        <v>0</v>
      </c>
      <c r="BN170" s="78">
        <f t="shared" si="815"/>
        <v>0</v>
      </c>
      <c r="BO170" s="78">
        <f t="shared" si="815"/>
        <v>0</v>
      </c>
      <c r="BP170" s="78">
        <f t="shared" si="815"/>
        <v>0</v>
      </c>
    </row>
    <row r="171" spans="1:68" ht="20.100000000000001" customHeight="1" x14ac:dyDescent="0.3">
      <c r="A171" s="15">
        <v>27</v>
      </c>
      <c r="B171" s="16" t="s">
        <v>119</v>
      </c>
      <c r="C171" s="17">
        <v>195</v>
      </c>
      <c r="D171" s="17">
        <v>70</v>
      </c>
      <c r="E171" s="19" t="e">
        <f>C171+D171+#REF!+#REF!</f>
        <v>#REF!</v>
      </c>
      <c r="F171" s="17">
        <v>30</v>
      </c>
      <c r="G171" s="28">
        <v>10</v>
      </c>
      <c r="H171" s="19" t="e">
        <f>F171+G171+#REF!</f>
        <v>#REF!</v>
      </c>
      <c r="I171" s="17">
        <v>0</v>
      </c>
      <c r="J171" s="17">
        <v>0</v>
      </c>
      <c r="K171" s="19">
        <f t="shared" si="755"/>
        <v>0</v>
      </c>
      <c r="L171" s="28">
        <v>50</v>
      </c>
      <c r="M171" s="28">
        <v>10</v>
      </c>
      <c r="N171" s="19">
        <f t="shared" si="682"/>
        <v>60</v>
      </c>
      <c r="O171" s="19">
        <f t="shared" ref="O171:P175" si="816">C171+F171+I171+L171</f>
        <v>275</v>
      </c>
      <c r="P171" s="20">
        <f t="shared" si="816"/>
        <v>90</v>
      </c>
      <c r="Q171" s="19">
        <f t="shared" ref="Q171:Q248" si="817">O171+P171</f>
        <v>365</v>
      </c>
      <c r="R171" s="17">
        <f t="shared" si="785"/>
        <v>48.75</v>
      </c>
      <c r="S171" s="17">
        <f t="shared" si="758"/>
        <v>10.5</v>
      </c>
      <c r="T171" s="17">
        <f t="shared" si="759"/>
        <v>7.5</v>
      </c>
      <c r="U171" s="17">
        <f t="shared" si="760"/>
        <v>1.5</v>
      </c>
      <c r="V171" s="17">
        <f t="shared" si="761"/>
        <v>0</v>
      </c>
      <c r="W171" s="17">
        <f t="shared" si="762"/>
        <v>0</v>
      </c>
      <c r="X171" s="17">
        <f t="shared" si="763"/>
        <v>12.5</v>
      </c>
      <c r="Y171" s="113">
        <f t="shared" si="764"/>
        <v>1.5</v>
      </c>
      <c r="Z171" s="127">
        <f t="shared" si="768"/>
        <v>34.520000000000003</v>
      </c>
      <c r="AA171" s="127">
        <f t="shared" si="769"/>
        <v>4.28</v>
      </c>
      <c r="AB171" s="127">
        <f t="shared" si="770"/>
        <v>4.8</v>
      </c>
      <c r="AC171" s="127">
        <f t="shared" si="771"/>
        <v>0.54</v>
      </c>
      <c r="AD171" s="127">
        <f t="shared" si="772"/>
        <v>0</v>
      </c>
      <c r="AE171" s="127">
        <f t="shared" si="773"/>
        <v>0</v>
      </c>
      <c r="AF171" s="127">
        <v>0</v>
      </c>
      <c r="AG171" s="127">
        <v>0</v>
      </c>
      <c r="AH171" s="127">
        <f t="shared" si="774"/>
        <v>14.24</v>
      </c>
      <c r="AI171" s="127">
        <f t="shared" si="775"/>
        <v>8.4</v>
      </c>
      <c r="AJ171" s="127">
        <f t="shared" si="776"/>
        <v>2.7</v>
      </c>
      <c r="AK171" s="127">
        <f t="shared" si="777"/>
        <v>1.2</v>
      </c>
      <c r="AL171" s="127">
        <f t="shared" si="786"/>
        <v>0</v>
      </c>
      <c r="AM171" s="127">
        <f t="shared" si="778"/>
        <v>0</v>
      </c>
      <c r="AN171" s="127">
        <f t="shared" si="787"/>
        <v>12.5</v>
      </c>
      <c r="AO171" s="127">
        <f t="shared" si="788"/>
        <v>1.8</v>
      </c>
      <c r="AP171" s="127">
        <f t="shared" si="789"/>
        <v>48.75</v>
      </c>
      <c r="AQ171" s="127">
        <f t="shared" si="790"/>
        <v>19.71</v>
      </c>
      <c r="AR171" s="127">
        <f t="shared" si="791"/>
        <v>7.5</v>
      </c>
      <c r="AS171" s="127">
        <f t="shared" si="792"/>
        <v>2.82</v>
      </c>
      <c r="AT171" s="127">
        <f t="shared" si="793"/>
        <v>0</v>
      </c>
      <c r="AU171" s="127">
        <f t="shared" si="794"/>
        <v>0</v>
      </c>
      <c r="AV171" s="127">
        <f t="shared" si="795"/>
        <v>12.5</v>
      </c>
      <c r="AW171" s="127">
        <f t="shared" si="796"/>
        <v>2.82</v>
      </c>
      <c r="AX171" s="127"/>
      <c r="AY171" s="127"/>
      <c r="AZ171" s="127">
        <f t="shared" si="766"/>
        <v>146.26</v>
      </c>
      <c r="BA171" s="127">
        <f t="shared" si="726"/>
        <v>42.89</v>
      </c>
      <c r="BB171" s="127">
        <f t="shared" si="767"/>
        <v>22.5</v>
      </c>
      <c r="BC171" s="127">
        <f t="shared" si="767"/>
        <v>6.06</v>
      </c>
      <c r="BD171" s="127">
        <f t="shared" si="767"/>
        <v>0</v>
      </c>
      <c r="BE171" s="127">
        <f t="shared" si="742"/>
        <v>0</v>
      </c>
      <c r="BF171" s="127">
        <f t="shared" si="741"/>
        <v>37.5</v>
      </c>
      <c r="BG171" s="127">
        <f t="shared" si="741"/>
        <v>6.12</v>
      </c>
      <c r="BH171" s="2"/>
      <c r="BI171" s="2"/>
      <c r="BJ171" s="2"/>
      <c r="BK171" s="2"/>
    </row>
    <row r="172" spans="1:68" ht="20.100000000000001" customHeight="1" x14ac:dyDescent="0.3">
      <c r="A172" s="23">
        <v>28</v>
      </c>
      <c r="B172" s="24" t="s">
        <v>120</v>
      </c>
      <c r="C172" s="17">
        <v>0</v>
      </c>
      <c r="D172" s="17">
        <v>0</v>
      </c>
      <c r="E172" s="19" t="e">
        <f>C172+D172+#REF!+#REF!</f>
        <v>#REF!</v>
      </c>
      <c r="F172" s="17">
        <v>425</v>
      </c>
      <c r="G172" s="28">
        <v>135</v>
      </c>
      <c r="H172" s="19" t="e">
        <f>F172+G172+#REF!</f>
        <v>#REF!</v>
      </c>
      <c r="I172" s="17">
        <v>70</v>
      </c>
      <c r="J172" s="17">
        <v>5</v>
      </c>
      <c r="K172" s="19">
        <f t="shared" si="755"/>
        <v>75</v>
      </c>
      <c r="L172" s="28">
        <v>0</v>
      </c>
      <c r="M172" s="28">
        <v>0</v>
      </c>
      <c r="N172" s="19">
        <f t="shared" si="682"/>
        <v>0</v>
      </c>
      <c r="O172" s="19">
        <f t="shared" si="816"/>
        <v>495</v>
      </c>
      <c r="P172" s="20">
        <f t="shared" si="816"/>
        <v>140</v>
      </c>
      <c r="Q172" s="19">
        <f t="shared" si="817"/>
        <v>635</v>
      </c>
      <c r="R172" s="17">
        <f t="shared" si="785"/>
        <v>0</v>
      </c>
      <c r="S172" s="17">
        <f t="shared" si="758"/>
        <v>0</v>
      </c>
      <c r="T172" s="17">
        <f t="shared" si="759"/>
        <v>106.25</v>
      </c>
      <c r="U172" s="17">
        <f t="shared" si="760"/>
        <v>20.25</v>
      </c>
      <c r="V172" s="17">
        <f t="shared" si="761"/>
        <v>17.5</v>
      </c>
      <c r="W172" s="17">
        <f t="shared" si="762"/>
        <v>0.75</v>
      </c>
      <c r="X172" s="17">
        <f t="shared" si="763"/>
        <v>0</v>
      </c>
      <c r="Y172" s="113">
        <f t="shared" si="764"/>
        <v>0</v>
      </c>
      <c r="Z172" s="127">
        <f t="shared" si="768"/>
        <v>0</v>
      </c>
      <c r="AA172" s="127">
        <f t="shared" si="769"/>
        <v>0</v>
      </c>
      <c r="AB172" s="127">
        <f t="shared" si="770"/>
        <v>68</v>
      </c>
      <c r="AC172" s="127">
        <f t="shared" si="771"/>
        <v>7.3</v>
      </c>
      <c r="AD172" s="127">
        <f t="shared" si="772"/>
        <v>11.2</v>
      </c>
      <c r="AE172" s="127">
        <f t="shared" si="773"/>
        <v>0.27</v>
      </c>
      <c r="AF172" s="127">
        <v>0</v>
      </c>
      <c r="AG172" s="127">
        <v>0</v>
      </c>
      <c r="AH172" s="127">
        <f t="shared" si="774"/>
        <v>0</v>
      </c>
      <c r="AI172" s="127">
        <f t="shared" si="775"/>
        <v>0</v>
      </c>
      <c r="AJ172" s="127">
        <f t="shared" si="776"/>
        <v>38.25</v>
      </c>
      <c r="AK172" s="127">
        <f>ROUND(G172*12%,2)+0.5</f>
        <v>16.7</v>
      </c>
      <c r="AL172" s="127">
        <f t="shared" si="786"/>
        <v>6.3</v>
      </c>
      <c r="AM172" s="127">
        <f>ROUND(J172*12%,2)+0.03</f>
        <v>0.63</v>
      </c>
      <c r="AN172" s="127">
        <f t="shared" si="787"/>
        <v>0</v>
      </c>
      <c r="AO172" s="127">
        <f t="shared" si="788"/>
        <v>0</v>
      </c>
      <c r="AP172" s="127">
        <f t="shared" si="789"/>
        <v>0</v>
      </c>
      <c r="AQ172" s="127">
        <f t="shared" si="790"/>
        <v>0</v>
      </c>
      <c r="AR172" s="127">
        <f t="shared" si="791"/>
        <v>106.25</v>
      </c>
      <c r="AS172" s="127">
        <f t="shared" si="792"/>
        <v>38</v>
      </c>
      <c r="AT172" s="127">
        <f t="shared" si="793"/>
        <v>17.5</v>
      </c>
      <c r="AU172" s="127">
        <f t="shared" si="794"/>
        <v>1.41</v>
      </c>
      <c r="AV172" s="127">
        <f t="shared" si="795"/>
        <v>0</v>
      </c>
      <c r="AW172" s="127">
        <f t="shared" si="796"/>
        <v>0</v>
      </c>
      <c r="AX172" s="127"/>
      <c r="AY172" s="127"/>
      <c r="AZ172" s="127">
        <f t="shared" si="766"/>
        <v>0</v>
      </c>
      <c r="BA172" s="127">
        <f t="shared" si="726"/>
        <v>0</v>
      </c>
      <c r="BB172" s="127">
        <f t="shared" si="767"/>
        <v>318.75</v>
      </c>
      <c r="BC172" s="127">
        <f t="shared" si="767"/>
        <v>82.25</v>
      </c>
      <c r="BD172" s="127">
        <f t="shared" si="767"/>
        <v>52.5</v>
      </c>
      <c r="BE172" s="127">
        <f t="shared" si="742"/>
        <v>3.06</v>
      </c>
      <c r="BF172" s="127">
        <f t="shared" si="741"/>
        <v>0</v>
      </c>
      <c r="BG172" s="127">
        <f t="shared" si="741"/>
        <v>0</v>
      </c>
      <c r="BH172" s="2"/>
      <c r="BI172" s="2"/>
      <c r="BJ172" s="2"/>
      <c r="BK172" s="2"/>
    </row>
    <row r="173" spans="1:68" ht="20.100000000000001" customHeight="1" x14ac:dyDescent="0.3">
      <c r="A173" s="23">
        <v>29</v>
      </c>
      <c r="B173" s="24" t="s">
        <v>121</v>
      </c>
      <c r="C173" s="17">
        <v>0</v>
      </c>
      <c r="D173" s="17">
        <v>0</v>
      </c>
      <c r="E173" s="19" t="e">
        <f>C173+D173+#REF!+#REF!</f>
        <v>#REF!</v>
      </c>
      <c r="F173" s="17">
        <v>410</v>
      </c>
      <c r="G173" s="28">
        <v>150</v>
      </c>
      <c r="H173" s="19" t="e">
        <f>F173+G173+#REF!</f>
        <v>#REF!</v>
      </c>
      <c r="I173" s="17">
        <v>150</v>
      </c>
      <c r="J173" s="17">
        <v>15</v>
      </c>
      <c r="K173" s="19">
        <f t="shared" si="755"/>
        <v>165</v>
      </c>
      <c r="L173" s="28">
        <v>55</v>
      </c>
      <c r="M173" s="28">
        <v>10</v>
      </c>
      <c r="N173" s="19">
        <f t="shared" si="682"/>
        <v>65</v>
      </c>
      <c r="O173" s="19">
        <f t="shared" si="816"/>
        <v>615</v>
      </c>
      <c r="P173" s="20">
        <f t="shared" si="816"/>
        <v>175</v>
      </c>
      <c r="Q173" s="19">
        <f t="shared" si="817"/>
        <v>790</v>
      </c>
      <c r="R173" s="17">
        <f t="shared" si="785"/>
        <v>0</v>
      </c>
      <c r="S173" s="17">
        <f t="shared" si="758"/>
        <v>0</v>
      </c>
      <c r="T173" s="17">
        <f t="shared" si="759"/>
        <v>102.5</v>
      </c>
      <c r="U173" s="17">
        <f t="shared" si="760"/>
        <v>22.5</v>
      </c>
      <c r="V173" s="17">
        <f t="shared" si="761"/>
        <v>37.5</v>
      </c>
      <c r="W173" s="17">
        <f t="shared" si="762"/>
        <v>2.25</v>
      </c>
      <c r="X173" s="17">
        <f t="shared" si="763"/>
        <v>13.75</v>
      </c>
      <c r="Y173" s="113">
        <f t="shared" si="764"/>
        <v>1.5</v>
      </c>
      <c r="Z173" s="127">
        <f t="shared" si="768"/>
        <v>0</v>
      </c>
      <c r="AA173" s="127">
        <f t="shared" si="769"/>
        <v>0</v>
      </c>
      <c r="AB173" s="127">
        <f t="shared" si="770"/>
        <v>65.599999999999994</v>
      </c>
      <c r="AC173" s="127">
        <f t="shared" si="771"/>
        <v>8.1199999999999992</v>
      </c>
      <c r="AD173" s="127">
        <f t="shared" si="772"/>
        <v>24</v>
      </c>
      <c r="AE173" s="127">
        <f t="shared" si="773"/>
        <v>0.81</v>
      </c>
      <c r="AF173" s="127">
        <v>0</v>
      </c>
      <c r="AG173" s="127">
        <v>0</v>
      </c>
      <c r="AH173" s="127">
        <f t="shared" si="774"/>
        <v>0</v>
      </c>
      <c r="AI173" s="127">
        <f t="shared" si="775"/>
        <v>0</v>
      </c>
      <c r="AJ173" s="127">
        <f t="shared" si="776"/>
        <v>36.9</v>
      </c>
      <c r="AK173" s="127">
        <f>ROUND(G173*12%,2)+0.5</f>
        <v>18.5</v>
      </c>
      <c r="AL173" s="127">
        <f t="shared" si="786"/>
        <v>13.5</v>
      </c>
      <c r="AM173" s="127">
        <f>ROUND(J173*12%,2)+0.02</f>
        <v>1.82</v>
      </c>
      <c r="AN173" s="127">
        <f t="shared" si="787"/>
        <v>13.75</v>
      </c>
      <c r="AO173" s="127">
        <f t="shared" si="788"/>
        <v>1.8</v>
      </c>
      <c r="AP173" s="127">
        <f t="shared" si="789"/>
        <v>0</v>
      </c>
      <c r="AQ173" s="127">
        <f t="shared" si="790"/>
        <v>0</v>
      </c>
      <c r="AR173" s="127">
        <f t="shared" si="791"/>
        <v>102.5</v>
      </c>
      <c r="AS173" s="127">
        <f t="shared" si="792"/>
        <v>42.23</v>
      </c>
      <c r="AT173" s="127">
        <f t="shared" si="793"/>
        <v>37.5</v>
      </c>
      <c r="AU173" s="127">
        <f t="shared" si="794"/>
        <v>4.22</v>
      </c>
      <c r="AV173" s="127">
        <f t="shared" si="795"/>
        <v>13.75</v>
      </c>
      <c r="AW173" s="127">
        <f t="shared" si="796"/>
        <v>2.82</v>
      </c>
      <c r="AX173" s="127"/>
      <c r="AY173" s="127"/>
      <c r="AZ173" s="127">
        <f t="shared" si="766"/>
        <v>0</v>
      </c>
      <c r="BA173" s="127">
        <f t="shared" si="726"/>
        <v>0</v>
      </c>
      <c r="BB173" s="127">
        <f t="shared" si="767"/>
        <v>307.5</v>
      </c>
      <c r="BC173" s="127">
        <f t="shared" si="767"/>
        <v>91.35</v>
      </c>
      <c r="BD173" s="127">
        <f t="shared" si="767"/>
        <v>112.5</v>
      </c>
      <c r="BE173" s="127">
        <f t="shared" si="742"/>
        <v>9.1</v>
      </c>
      <c r="BF173" s="127">
        <f t="shared" si="741"/>
        <v>41.25</v>
      </c>
      <c r="BG173" s="127">
        <f t="shared" si="741"/>
        <v>6.12</v>
      </c>
      <c r="BH173" s="2"/>
      <c r="BI173" s="2"/>
      <c r="BJ173" s="2"/>
      <c r="BK173" s="2"/>
    </row>
    <row r="174" spans="1:68" ht="20.100000000000001" customHeight="1" x14ac:dyDescent="0.3">
      <c r="A174" s="23">
        <v>30</v>
      </c>
      <c r="B174" s="24" t="s">
        <v>122</v>
      </c>
      <c r="C174" s="17">
        <v>128</v>
      </c>
      <c r="D174" s="17">
        <v>8</v>
      </c>
      <c r="E174" s="19" t="e">
        <f>C174+D174+#REF!+#REF!</f>
        <v>#REF!</v>
      </c>
      <c r="F174" s="17">
        <v>190</v>
      </c>
      <c r="G174" s="28">
        <v>60</v>
      </c>
      <c r="H174" s="19" t="e">
        <f>F174+G174+#REF!</f>
        <v>#REF!</v>
      </c>
      <c r="I174" s="17">
        <v>180</v>
      </c>
      <c r="J174" s="17">
        <v>0</v>
      </c>
      <c r="K174" s="19">
        <f t="shared" si="755"/>
        <v>180</v>
      </c>
      <c r="L174" s="28">
        <v>48</v>
      </c>
      <c r="M174" s="28">
        <v>5</v>
      </c>
      <c r="N174" s="19">
        <f t="shared" si="682"/>
        <v>53</v>
      </c>
      <c r="O174" s="19">
        <f t="shared" si="816"/>
        <v>546</v>
      </c>
      <c r="P174" s="20">
        <f t="shared" si="816"/>
        <v>73</v>
      </c>
      <c r="Q174" s="19">
        <f t="shared" si="817"/>
        <v>619</v>
      </c>
      <c r="R174" s="17">
        <f t="shared" si="785"/>
        <v>32</v>
      </c>
      <c r="S174" s="17">
        <f t="shared" si="758"/>
        <v>1.2</v>
      </c>
      <c r="T174" s="17">
        <f t="shared" si="759"/>
        <v>47.5</v>
      </c>
      <c r="U174" s="17">
        <f t="shared" si="760"/>
        <v>9</v>
      </c>
      <c r="V174" s="17">
        <f t="shared" si="761"/>
        <v>45</v>
      </c>
      <c r="W174" s="17">
        <f t="shared" si="762"/>
        <v>0</v>
      </c>
      <c r="X174" s="17">
        <f t="shared" si="763"/>
        <v>12</v>
      </c>
      <c r="Y174" s="113">
        <f t="shared" si="764"/>
        <v>0.75</v>
      </c>
      <c r="Z174" s="127">
        <f t="shared" si="768"/>
        <v>22.66</v>
      </c>
      <c r="AA174" s="127">
        <f t="shared" si="769"/>
        <v>0.49</v>
      </c>
      <c r="AB174" s="127">
        <f t="shared" si="770"/>
        <v>30.4</v>
      </c>
      <c r="AC174" s="127">
        <f t="shared" si="771"/>
        <v>3.25</v>
      </c>
      <c r="AD174" s="127">
        <f t="shared" si="772"/>
        <v>28.8</v>
      </c>
      <c r="AE174" s="127">
        <f t="shared" si="773"/>
        <v>0</v>
      </c>
      <c r="AF174" s="127">
        <v>0</v>
      </c>
      <c r="AG174" s="127">
        <v>0</v>
      </c>
      <c r="AH174" s="127">
        <f t="shared" si="774"/>
        <v>9.34</v>
      </c>
      <c r="AI174" s="127">
        <f t="shared" si="775"/>
        <v>0.96</v>
      </c>
      <c r="AJ174" s="127">
        <f t="shared" si="776"/>
        <v>17.100000000000001</v>
      </c>
      <c r="AK174" s="127">
        <f>ROUND(G174*12%,2)+0.5</f>
        <v>7.7</v>
      </c>
      <c r="AL174" s="127">
        <f t="shared" si="786"/>
        <v>16.2</v>
      </c>
      <c r="AM174" s="127">
        <f t="shared" si="778"/>
        <v>0</v>
      </c>
      <c r="AN174" s="127">
        <f t="shared" si="787"/>
        <v>12</v>
      </c>
      <c r="AO174" s="127">
        <f t="shared" si="788"/>
        <v>0.9</v>
      </c>
      <c r="AP174" s="127">
        <f t="shared" si="789"/>
        <v>32</v>
      </c>
      <c r="AQ174" s="127">
        <f t="shared" si="790"/>
        <v>2.25</v>
      </c>
      <c r="AR174" s="127">
        <f t="shared" si="791"/>
        <v>47.5</v>
      </c>
      <c r="AS174" s="127">
        <f t="shared" si="792"/>
        <v>16.89</v>
      </c>
      <c r="AT174" s="127">
        <f t="shared" si="793"/>
        <v>45</v>
      </c>
      <c r="AU174" s="127">
        <f t="shared" si="794"/>
        <v>0</v>
      </c>
      <c r="AV174" s="127">
        <f t="shared" si="795"/>
        <v>12</v>
      </c>
      <c r="AW174" s="127">
        <f t="shared" si="796"/>
        <v>1.41</v>
      </c>
      <c r="AX174" s="127"/>
      <c r="AY174" s="127"/>
      <c r="AZ174" s="127">
        <f t="shared" si="766"/>
        <v>96</v>
      </c>
      <c r="BA174" s="127">
        <f t="shared" si="726"/>
        <v>4.9000000000000004</v>
      </c>
      <c r="BB174" s="127">
        <f t="shared" si="767"/>
        <v>142.5</v>
      </c>
      <c r="BC174" s="127">
        <f t="shared" si="767"/>
        <v>36.840000000000003</v>
      </c>
      <c r="BD174" s="127">
        <f t="shared" si="767"/>
        <v>135</v>
      </c>
      <c r="BE174" s="127">
        <f t="shared" si="742"/>
        <v>0</v>
      </c>
      <c r="BF174" s="127">
        <f t="shared" si="741"/>
        <v>36</v>
      </c>
      <c r="BG174" s="127">
        <f t="shared" si="741"/>
        <v>3.06</v>
      </c>
      <c r="BH174" s="2"/>
      <c r="BI174" s="2"/>
      <c r="BJ174" s="2"/>
      <c r="BK174" s="2"/>
    </row>
    <row r="175" spans="1:68" ht="20.100000000000001" customHeight="1" x14ac:dyDescent="0.3">
      <c r="A175" s="23">
        <v>31</v>
      </c>
      <c r="B175" s="24" t="s">
        <v>123</v>
      </c>
      <c r="C175" s="17">
        <v>128</v>
      </c>
      <c r="D175" s="17">
        <v>4</v>
      </c>
      <c r="E175" s="19" t="e">
        <f>C175+D175+#REF!+#REF!</f>
        <v>#REF!</v>
      </c>
      <c r="F175" s="17">
        <v>170</v>
      </c>
      <c r="G175" s="28">
        <v>20</v>
      </c>
      <c r="H175" s="19" t="e">
        <f>F175+G175+#REF!</f>
        <v>#REF!</v>
      </c>
      <c r="I175" s="17">
        <v>80</v>
      </c>
      <c r="J175" s="17">
        <v>0</v>
      </c>
      <c r="K175" s="19">
        <f t="shared" si="755"/>
        <v>80</v>
      </c>
      <c r="L175" s="28">
        <v>38</v>
      </c>
      <c r="M175" s="28">
        <v>5</v>
      </c>
      <c r="N175" s="19">
        <f t="shared" si="682"/>
        <v>43</v>
      </c>
      <c r="O175" s="19">
        <f t="shared" si="816"/>
        <v>416</v>
      </c>
      <c r="P175" s="20">
        <f t="shared" si="816"/>
        <v>29</v>
      </c>
      <c r="Q175" s="19">
        <f t="shared" si="817"/>
        <v>445</v>
      </c>
      <c r="R175" s="17">
        <f t="shared" si="785"/>
        <v>32</v>
      </c>
      <c r="S175" s="17">
        <f t="shared" si="758"/>
        <v>0.6</v>
      </c>
      <c r="T175" s="17">
        <f t="shared" si="759"/>
        <v>42.5</v>
      </c>
      <c r="U175" s="17">
        <f t="shared" si="760"/>
        <v>3</v>
      </c>
      <c r="V175" s="17">
        <f t="shared" si="761"/>
        <v>20</v>
      </c>
      <c r="W175" s="17">
        <f t="shared" si="762"/>
        <v>0</v>
      </c>
      <c r="X175" s="17">
        <f t="shared" si="763"/>
        <v>9.5</v>
      </c>
      <c r="Y175" s="113">
        <f t="shared" si="764"/>
        <v>0.75</v>
      </c>
      <c r="Z175" s="127">
        <f t="shared" si="768"/>
        <v>22.66</v>
      </c>
      <c r="AA175" s="127">
        <f t="shared" si="769"/>
        <v>0.24</v>
      </c>
      <c r="AB175" s="127">
        <f t="shared" si="770"/>
        <v>27.2</v>
      </c>
      <c r="AC175" s="127">
        <f t="shared" si="771"/>
        <v>1.08</v>
      </c>
      <c r="AD175" s="127">
        <f t="shared" si="772"/>
        <v>12.8</v>
      </c>
      <c r="AE175" s="127">
        <f t="shared" si="773"/>
        <v>0</v>
      </c>
      <c r="AF175" s="127">
        <v>0</v>
      </c>
      <c r="AG175" s="127">
        <v>0</v>
      </c>
      <c r="AH175" s="127">
        <f t="shared" si="774"/>
        <v>9.34</v>
      </c>
      <c r="AI175" s="127">
        <f t="shared" si="775"/>
        <v>0.48</v>
      </c>
      <c r="AJ175" s="127">
        <f t="shared" si="776"/>
        <v>15.3</v>
      </c>
      <c r="AK175" s="127">
        <f t="shared" si="777"/>
        <v>2.4</v>
      </c>
      <c r="AL175" s="127">
        <f t="shared" si="786"/>
        <v>7.2</v>
      </c>
      <c r="AM175" s="127">
        <f t="shared" si="778"/>
        <v>0</v>
      </c>
      <c r="AN175" s="127">
        <f t="shared" si="787"/>
        <v>9.5</v>
      </c>
      <c r="AO175" s="127">
        <f t="shared" si="788"/>
        <v>0.9</v>
      </c>
      <c r="AP175" s="127">
        <f t="shared" si="789"/>
        <v>32</v>
      </c>
      <c r="AQ175" s="127">
        <f t="shared" si="790"/>
        <v>1.1299999999999999</v>
      </c>
      <c r="AR175" s="127">
        <f t="shared" si="791"/>
        <v>42.5</v>
      </c>
      <c r="AS175" s="127">
        <f t="shared" si="792"/>
        <v>5.63</v>
      </c>
      <c r="AT175" s="127">
        <f t="shared" si="793"/>
        <v>20</v>
      </c>
      <c r="AU175" s="127">
        <f t="shared" si="794"/>
        <v>0</v>
      </c>
      <c r="AV175" s="127">
        <f t="shared" si="795"/>
        <v>9.5</v>
      </c>
      <c r="AW175" s="127">
        <f t="shared" si="796"/>
        <v>1.41</v>
      </c>
      <c r="AX175" s="127"/>
      <c r="AY175" s="127"/>
      <c r="AZ175" s="127">
        <f t="shared" si="766"/>
        <v>96</v>
      </c>
      <c r="BA175" s="127">
        <f t="shared" si="726"/>
        <v>2.4499999999999997</v>
      </c>
      <c r="BB175" s="127">
        <f t="shared" si="767"/>
        <v>127.5</v>
      </c>
      <c r="BC175" s="127">
        <f t="shared" si="767"/>
        <v>12.11</v>
      </c>
      <c r="BD175" s="127">
        <f t="shared" si="767"/>
        <v>60</v>
      </c>
      <c r="BE175" s="127">
        <f t="shared" si="742"/>
        <v>0</v>
      </c>
      <c r="BF175" s="127">
        <f t="shared" si="741"/>
        <v>28.5</v>
      </c>
      <c r="BG175" s="127">
        <f t="shared" si="741"/>
        <v>3.06</v>
      </c>
      <c r="BH175" s="2"/>
      <c r="BI175" s="2"/>
      <c r="BJ175" s="2"/>
      <c r="BK175" s="2"/>
    </row>
    <row r="176" spans="1:68" s="6" customFormat="1" ht="20.100000000000001" customHeight="1" x14ac:dyDescent="0.3">
      <c r="A176" s="98"/>
      <c r="B176" s="85" t="s">
        <v>121</v>
      </c>
      <c r="C176" s="78">
        <f>+C173+C174+C175</f>
        <v>256</v>
      </c>
      <c r="D176" s="78">
        <f t="shared" ref="D176:G176" si="818">+D173+D174+D175</f>
        <v>12</v>
      </c>
      <c r="E176" s="78" t="e">
        <f t="shared" si="818"/>
        <v>#REF!</v>
      </c>
      <c r="F176" s="78">
        <f t="shared" si="818"/>
        <v>770</v>
      </c>
      <c r="G176" s="78">
        <f t="shared" si="818"/>
        <v>230</v>
      </c>
      <c r="H176" s="78" t="e">
        <f t="shared" ref="H176" si="819">+H173+H174+H175</f>
        <v>#REF!</v>
      </c>
      <c r="I176" s="78">
        <f t="shared" ref="I176" si="820">+I173+I174+I175</f>
        <v>410</v>
      </c>
      <c r="J176" s="78">
        <f t="shared" ref="J176:K176" si="821">+J173+J174+J175</f>
        <v>15</v>
      </c>
      <c r="K176" s="78">
        <f t="shared" si="821"/>
        <v>425</v>
      </c>
      <c r="L176" s="78">
        <f>+L173+L174+L175</f>
        <v>141</v>
      </c>
      <c r="M176" s="78">
        <f t="shared" ref="M176:BG176" si="822">+M173+M174+M175</f>
        <v>20</v>
      </c>
      <c r="N176" s="78">
        <f t="shared" si="822"/>
        <v>161</v>
      </c>
      <c r="O176" s="78">
        <f t="shared" si="822"/>
        <v>1577</v>
      </c>
      <c r="P176" s="78">
        <f t="shared" si="822"/>
        <v>277</v>
      </c>
      <c r="Q176" s="78">
        <f t="shared" si="822"/>
        <v>1854</v>
      </c>
      <c r="R176" s="78">
        <f t="shared" si="822"/>
        <v>64</v>
      </c>
      <c r="S176" s="78">
        <f t="shared" si="822"/>
        <v>1.7999999999999998</v>
      </c>
      <c r="T176" s="78">
        <f t="shared" si="822"/>
        <v>192.5</v>
      </c>
      <c r="U176" s="78">
        <f t="shared" si="822"/>
        <v>34.5</v>
      </c>
      <c r="V176" s="78">
        <f t="shared" si="822"/>
        <v>102.5</v>
      </c>
      <c r="W176" s="78">
        <f t="shared" si="822"/>
        <v>2.25</v>
      </c>
      <c r="X176" s="78">
        <f t="shared" si="822"/>
        <v>35.25</v>
      </c>
      <c r="Y176" s="114">
        <f t="shared" si="822"/>
        <v>3</v>
      </c>
      <c r="Z176" s="78">
        <f t="shared" si="822"/>
        <v>45.32</v>
      </c>
      <c r="AA176" s="78">
        <f t="shared" si="822"/>
        <v>0.73</v>
      </c>
      <c r="AB176" s="78">
        <f t="shared" si="822"/>
        <v>123.2</v>
      </c>
      <c r="AC176" s="78">
        <f t="shared" si="822"/>
        <v>12.45</v>
      </c>
      <c r="AD176" s="78">
        <f t="shared" si="822"/>
        <v>65.599999999999994</v>
      </c>
      <c r="AE176" s="78">
        <f t="shared" si="822"/>
        <v>0.81</v>
      </c>
      <c r="AF176" s="78">
        <f t="shared" si="822"/>
        <v>0</v>
      </c>
      <c r="AG176" s="78">
        <f t="shared" si="822"/>
        <v>0</v>
      </c>
      <c r="AH176" s="78">
        <f t="shared" si="822"/>
        <v>18.68</v>
      </c>
      <c r="AI176" s="78">
        <f t="shared" si="822"/>
        <v>1.44</v>
      </c>
      <c r="AJ176" s="78">
        <f t="shared" si="822"/>
        <v>69.3</v>
      </c>
      <c r="AK176" s="78">
        <f t="shared" si="822"/>
        <v>28.599999999999998</v>
      </c>
      <c r="AL176" s="78">
        <f t="shared" si="822"/>
        <v>36.9</v>
      </c>
      <c r="AM176" s="78">
        <f t="shared" si="822"/>
        <v>1.82</v>
      </c>
      <c r="AN176" s="78">
        <f t="shared" si="822"/>
        <v>35.25</v>
      </c>
      <c r="AO176" s="78">
        <f t="shared" si="822"/>
        <v>3.6</v>
      </c>
      <c r="AP176" s="78">
        <f t="shared" si="822"/>
        <v>64</v>
      </c>
      <c r="AQ176" s="78">
        <f t="shared" si="822"/>
        <v>3.38</v>
      </c>
      <c r="AR176" s="78">
        <f t="shared" si="822"/>
        <v>192.5</v>
      </c>
      <c r="AS176" s="78">
        <f t="shared" si="822"/>
        <v>64.75</v>
      </c>
      <c r="AT176" s="78">
        <f t="shared" si="822"/>
        <v>102.5</v>
      </c>
      <c r="AU176" s="78">
        <f t="shared" si="822"/>
        <v>4.22</v>
      </c>
      <c r="AV176" s="78">
        <f t="shared" si="822"/>
        <v>35.25</v>
      </c>
      <c r="AW176" s="78">
        <f t="shared" si="822"/>
        <v>5.64</v>
      </c>
      <c r="AX176" s="78">
        <f t="shared" si="822"/>
        <v>0</v>
      </c>
      <c r="AY176" s="78">
        <f t="shared" si="822"/>
        <v>0</v>
      </c>
      <c r="AZ176" s="78">
        <f t="shared" si="822"/>
        <v>192</v>
      </c>
      <c r="BA176" s="78">
        <f t="shared" si="822"/>
        <v>7.35</v>
      </c>
      <c r="BB176" s="78">
        <f t="shared" si="822"/>
        <v>577.5</v>
      </c>
      <c r="BC176" s="78">
        <f t="shared" si="822"/>
        <v>140.30000000000001</v>
      </c>
      <c r="BD176" s="78">
        <f t="shared" si="822"/>
        <v>307.5</v>
      </c>
      <c r="BE176" s="78">
        <f t="shared" si="822"/>
        <v>9.1</v>
      </c>
      <c r="BF176" s="78">
        <f t="shared" si="822"/>
        <v>105.75</v>
      </c>
      <c r="BG176" s="78">
        <f t="shared" si="822"/>
        <v>12.24</v>
      </c>
      <c r="BH176" s="78"/>
      <c r="BI176" s="78"/>
      <c r="BJ176" s="78"/>
      <c r="BK176" s="78"/>
      <c r="BL176" s="78">
        <f t="shared" ref="BL176" si="823">+BL173+BL174+BL175</f>
        <v>0</v>
      </c>
    </row>
    <row r="177" spans="1:68" ht="20.100000000000001" customHeight="1" x14ac:dyDescent="0.3">
      <c r="A177" s="23">
        <v>32</v>
      </c>
      <c r="B177" s="24" t="s">
        <v>124</v>
      </c>
      <c r="C177" s="17">
        <v>0</v>
      </c>
      <c r="D177" s="17">
        <v>0</v>
      </c>
      <c r="E177" s="19" t="e">
        <f>C177+D177+#REF!+#REF!</f>
        <v>#REF!</v>
      </c>
      <c r="F177" s="17">
        <v>392</v>
      </c>
      <c r="G177" s="28">
        <v>122</v>
      </c>
      <c r="H177" s="19" t="e">
        <f>F177+G177+#REF!</f>
        <v>#REF!</v>
      </c>
      <c r="I177" s="17">
        <v>100</v>
      </c>
      <c r="J177" s="17">
        <v>15</v>
      </c>
      <c r="K177" s="19">
        <f t="shared" si="755"/>
        <v>115</v>
      </c>
      <c r="L177" s="28">
        <v>0</v>
      </c>
      <c r="M177" s="28">
        <v>0</v>
      </c>
      <c r="N177" s="19">
        <f t="shared" si="682"/>
        <v>0</v>
      </c>
      <c r="O177" s="19">
        <f t="shared" ref="O177:P180" si="824">C177+F177+I177+L177</f>
        <v>492</v>
      </c>
      <c r="P177" s="20">
        <f t="shared" si="824"/>
        <v>137</v>
      </c>
      <c r="Q177" s="19">
        <f t="shared" si="817"/>
        <v>629</v>
      </c>
      <c r="R177" s="17">
        <f t="shared" si="785"/>
        <v>0</v>
      </c>
      <c r="S177" s="17">
        <f t="shared" si="758"/>
        <v>0</v>
      </c>
      <c r="T177" s="17">
        <f t="shared" si="759"/>
        <v>98</v>
      </c>
      <c r="U177" s="17">
        <f t="shared" si="760"/>
        <v>18.3</v>
      </c>
      <c r="V177" s="17">
        <f t="shared" si="761"/>
        <v>25</v>
      </c>
      <c r="W177" s="17">
        <f t="shared" si="762"/>
        <v>2.25</v>
      </c>
      <c r="X177" s="17">
        <f t="shared" si="763"/>
        <v>0</v>
      </c>
      <c r="Y177" s="113">
        <f t="shared" si="764"/>
        <v>0</v>
      </c>
      <c r="Z177" s="127">
        <f t="shared" si="768"/>
        <v>0</v>
      </c>
      <c r="AA177" s="127">
        <f t="shared" si="769"/>
        <v>0</v>
      </c>
      <c r="AB177" s="127">
        <f t="shared" si="770"/>
        <v>62.72</v>
      </c>
      <c r="AC177" s="127">
        <f t="shared" si="771"/>
        <v>6.6</v>
      </c>
      <c r="AD177" s="127">
        <f t="shared" si="772"/>
        <v>16</v>
      </c>
      <c r="AE177" s="127">
        <f t="shared" si="773"/>
        <v>0.81</v>
      </c>
      <c r="AF177" s="127">
        <v>0</v>
      </c>
      <c r="AG177" s="127">
        <v>0</v>
      </c>
      <c r="AH177" s="127">
        <f t="shared" si="774"/>
        <v>0</v>
      </c>
      <c r="AI177" s="127">
        <f t="shared" si="775"/>
        <v>0</v>
      </c>
      <c r="AJ177" s="127">
        <f t="shared" si="776"/>
        <v>35.28</v>
      </c>
      <c r="AK177" s="127">
        <f>ROUND(G177*12%,2)+0.89</f>
        <v>15.530000000000001</v>
      </c>
      <c r="AL177" s="127">
        <f t="shared" si="786"/>
        <v>9</v>
      </c>
      <c r="AM177" s="127">
        <f>ROUND(J177*12%,2)+0.01</f>
        <v>1.81</v>
      </c>
      <c r="AN177" s="127">
        <f t="shared" si="787"/>
        <v>0</v>
      </c>
      <c r="AO177" s="127">
        <f t="shared" si="788"/>
        <v>0</v>
      </c>
      <c r="AP177" s="127">
        <f t="shared" si="789"/>
        <v>0</v>
      </c>
      <c r="AQ177" s="127">
        <f t="shared" si="790"/>
        <v>0</v>
      </c>
      <c r="AR177" s="127">
        <f t="shared" si="791"/>
        <v>98</v>
      </c>
      <c r="AS177" s="127">
        <f t="shared" si="792"/>
        <v>34.340000000000003</v>
      </c>
      <c r="AT177" s="127">
        <f t="shared" si="793"/>
        <v>25</v>
      </c>
      <c r="AU177" s="127">
        <f>ROUND(J177*28.15%,2)+0.02</f>
        <v>4.2399999999999993</v>
      </c>
      <c r="AV177" s="127">
        <f t="shared" si="795"/>
        <v>0</v>
      </c>
      <c r="AW177" s="127">
        <f t="shared" si="796"/>
        <v>0</v>
      </c>
      <c r="AX177" s="127"/>
      <c r="AY177" s="127"/>
      <c r="AZ177" s="127">
        <f t="shared" si="766"/>
        <v>0</v>
      </c>
      <c r="BA177" s="127">
        <f t="shared" si="726"/>
        <v>0</v>
      </c>
      <c r="BB177" s="127">
        <f t="shared" si="767"/>
        <v>294</v>
      </c>
      <c r="BC177" s="127">
        <f t="shared" si="767"/>
        <v>74.77000000000001</v>
      </c>
      <c r="BD177" s="127">
        <f t="shared" si="767"/>
        <v>75</v>
      </c>
      <c r="BE177" s="127">
        <f t="shared" si="742"/>
        <v>9.11</v>
      </c>
      <c r="BF177" s="127">
        <f t="shared" si="741"/>
        <v>0</v>
      </c>
      <c r="BG177" s="127">
        <f t="shared" si="741"/>
        <v>0</v>
      </c>
      <c r="BH177" s="2"/>
      <c r="BI177" s="2"/>
      <c r="BJ177" s="2"/>
      <c r="BK177" s="2"/>
    </row>
    <row r="178" spans="1:68" ht="20.100000000000001" customHeight="1" x14ac:dyDescent="0.3">
      <c r="A178" s="15">
        <v>33</v>
      </c>
      <c r="B178" s="16" t="s">
        <v>125</v>
      </c>
      <c r="C178" s="17">
        <v>530</v>
      </c>
      <c r="D178" s="17">
        <v>40</v>
      </c>
      <c r="E178" s="19" t="e">
        <f>C178+D178+#REF!+#REF!</f>
        <v>#REF!</v>
      </c>
      <c r="F178" s="17">
        <v>50</v>
      </c>
      <c r="G178" s="28">
        <v>12</v>
      </c>
      <c r="H178" s="19" t="e">
        <f>F178+G178+#REF!</f>
        <v>#REF!</v>
      </c>
      <c r="I178" s="17">
        <v>0</v>
      </c>
      <c r="J178" s="17">
        <v>0</v>
      </c>
      <c r="K178" s="19">
        <f t="shared" si="755"/>
        <v>0</v>
      </c>
      <c r="L178" s="28">
        <v>30</v>
      </c>
      <c r="M178" s="28">
        <v>20</v>
      </c>
      <c r="N178" s="19">
        <f t="shared" si="682"/>
        <v>50</v>
      </c>
      <c r="O178" s="19">
        <f t="shared" si="824"/>
        <v>610</v>
      </c>
      <c r="P178" s="20">
        <f t="shared" si="824"/>
        <v>72</v>
      </c>
      <c r="Q178" s="19">
        <f t="shared" si="817"/>
        <v>682</v>
      </c>
      <c r="R178" s="17">
        <f t="shared" si="785"/>
        <v>132.5</v>
      </c>
      <c r="S178" s="17">
        <f t="shared" si="758"/>
        <v>6</v>
      </c>
      <c r="T178" s="17">
        <f t="shared" si="759"/>
        <v>12.5</v>
      </c>
      <c r="U178" s="17">
        <f t="shared" si="760"/>
        <v>1.8</v>
      </c>
      <c r="V178" s="17">
        <f t="shared" si="761"/>
        <v>0</v>
      </c>
      <c r="W178" s="17">
        <f t="shared" si="762"/>
        <v>0</v>
      </c>
      <c r="X178" s="17">
        <f t="shared" si="763"/>
        <v>7.5</v>
      </c>
      <c r="Y178" s="113">
        <f t="shared" si="764"/>
        <v>3</v>
      </c>
      <c r="Z178" s="127">
        <f t="shared" si="768"/>
        <v>93.81</v>
      </c>
      <c r="AA178" s="127">
        <f t="shared" si="769"/>
        <v>2.44</v>
      </c>
      <c r="AB178" s="127">
        <f t="shared" si="770"/>
        <v>8</v>
      </c>
      <c r="AC178" s="127">
        <f t="shared" si="771"/>
        <v>0.65</v>
      </c>
      <c r="AD178" s="127">
        <f t="shared" si="772"/>
        <v>0</v>
      </c>
      <c r="AE178" s="127">
        <f t="shared" si="773"/>
        <v>0</v>
      </c>
      <c r="AF178" s="127">
        <v>0</v>
      </c>
      <c r="AG178" s="127">
        <v>0</v>
      </c>
      <c r="AH178" s="127">
        <f t="shared" si="774"/>
        <v>38.69</v>
      </c>
      <c r="AI178" s="127">
        <f t="shared" si="775"/>
        <v>4.8</v>
      </c>
      <c r="AJ178" s="127">
        <f t="shared" si="776"/>
        <v>4.5</v>
      </c>
      <c r="AK178" s="127">
        <f t="shared" si="777"/>
        <v>1.44</v>
      </c>
      <c r="AL178" s="127">
        <f t="shared" si="786"/>
        <v>0</v>
      </c>
      <c r="AM178" s="127">
        <f t="shared" si="778"/>
        <v>0</v>
      </c>
      <c r="AN178" s="127">
        <f t="shared" si="787"/>
        <v>7.5</v>
      </c>
      <c r="AO178" s="127">
        <f t="shared" si="788"/>
        <v>3.6</v>
      </c>
      <c r="AP178" s="127">
        <f t="shared" si="789"/>
        <v>132.5</v>
      </c>
      <c r="AQ178" s="127">
        <f t="shared" si="790"/>
        <v>11.26</v>
      </c>
      <c r="AR178" s="127">
        <f t="shared" si="791"/>
        <v>12.5</v>
      </c>
      <c r="AS178" s="127">
        <f t="shared" si="792"/>
        <v>3.38</v>
      </c>
      <c r="AT178" s="127">
        <f t="shared" si="793"/>
        <v>0</v>
      </c>
      <c r="AU178" s="127">
        <f t="shared" si="794"/>
        <v>0</v>
      </c>
      <c r="AV178" s="127">
        <f t="shared" si="795"/>
        <v>7.5</v>
      </c>
      <c r="AW178" s="127">
        <f t="shared" si="796"/>
        <v>5.63</v>
      </c>
      <c r="AX178" s="127"/>
      <c r="AY178" s="127"/>
      <c r="AZ178" s="127">
        <f t="shared" si="766"/>
        <v>397.5</v>
      </c>
      <c r="BA178" s="127">
        <f t="shared" si="726"/>
        <v>24.5</v>
      </c>
      <c r="BB178" s="127">
        <f t="shared" si="767"/>
        <v>37.5</v>
      </c>
      <c r="BC178" s="127">
        <f t="shared" si="767"/>
        <v>7.2700000000000005</v>
      </c>
      <c r="BD178" s="127">
        <f t="shared" si="767"/>
        <v>0</v>
      </c>
      <c r="BE178" s="127">
        <f t="shared" si="742"/>
        <v>0</v>
      </c>
      <c r="BF178" s="127">
        <f t="shared" si="741"/>
        <v>22.5</v>
      </c>
      <c r="BG178" s="127">
        <f t="shared" si="741"/>
        <v>12.23</v>
      </c>
      <c r="BH178" s="2"/>
      <c r="BI178" s="2"/>
      <c r="BJ178" s="2"/>
      <c r="BK178" s="2"/>
    </row>
    <row r="179" spans="1:68" ht="20.100000000000001" customHeight="1" x14ac:dyDescent="0.3">
      <c r="A179" s="15">
        <v>34</v>
      </c>
      <c r="B179" s="16" t="s">
        <v>126</v>
      </c>
      <c r="C179" s="17">
        <v>360</v>
      </c>
      <c r="D179" s="17">
        <v>50</v>
      </c>
      <c r="E179" s="19" t="e">
        <f>C179+D179+#REF!+#REF!</f>
        <v>#REF!</v>
      </c>
      <c r="F179" s="17">
        <v>40</v>
      </c>
      <c r="G179" s="28">
        <v>5</v>
      </c>
      <c r="H179" s="19" t="e">
        <f>F179+G179+#REF!</f>
        <v>#REF!</v>
      </c>
      <c r="I179" s="17">
        <v>5</v>
      </c>
      <c r="J179" s="17">
        <v>0</v>
      </c>
      <c r="K179" s="19">
        <f t="shared" si="755"/>
        <v>5</v>
      </c>
      <c r="L179" s="28">
        <v>45</v>
      </c>
      <c r="M179" s="28">
        <v>6</v>
      </c>
      <c r="N179" s="19">
        <f t="shared" si="682"/>
        <v>51</v>
      </c>
      <c r="O179" s="19">
        <f t="shared" si="824"/>
        <v>450</v>
      </c>
      <c r="P179" s="20">
        <f t="shared" si="824"/>
        <v>61</v>
      </c>
      <c r="Q179" s="19">
        <f t="shared" si="817"/>
        <v>511</v>
      </c>
      <c r="R179" s="17">
        <f t="shared" si="785"/>
        <v>90</v>
      </c>
      <c r="S179" s="17">
        <f t="shared" si="758"/>
        <v>7.5</v>
      </c>
      <c r="T179" s="17">
        <f t="shared" si="759"/>
        <v>10</v>
      </c>
      <c r="U179" s="17">
        <f t="shared" si="760"/>
        <v>0.75</v>
      </c>
      <c r="V179" s="17">
        <f t="shared" si="761"/>
        <v>1.25</v>
      </c>
      <c r="W179" s="17">
        <f t="shared" si="762"/>
        <v>0</v>
      </c>
      <c r="X179" s="17">
        <f t="shared" si="763"/>
        <v>11.25</v>
      </c>
      <c r="Y179" s="113">
        <f t="shared" si="764"/>
        <v>0.9</v>
      </c>
      <c r="Z179" s="127">
        <f t="shared" si="768"/>
        <v>63.72</v>
      </c>
      <c r="AA179" s="127">
        <f t="shared" si="769"/>
        <v>3.06</v>
      </c>
      <c r="AB179" s="127">
        <f t="shared" si="770"/>
        <v>6.4</v>
      </c>
      <c r="AC179" s="127">
        <f t="shared" si="771"/>
        <v>0.27</v>
      </c>
      <c r="AD179" s="127">
        <f t="shared" si="772"/>
        <v>0.8</v>
      </c>
      <c r="AE179" s="127">
        <f t="shared" si="773"/>
        <v>0</v>
      </c>
      <c r="AF179" s="127">
        <v>0</v>
      </c>
      <c r="AG179" s="127">
        <v>0</v>
      </c>
      <c r="AH179" s="127">
        <f t="shared" si="774"/>
        <v>26.28</v>
      </c>
      <c r="AI179" s="127">
        <f t="shared" si="775"/>
        <v>6</v>
      </c>
      <c r="AJ179" s="127">
        <f t="shared" si="776"/>
        <v>3.6</v>
      </c>
      <c r="AK179" s="127">
        <f t="shared" si="777"/>
        <v>0.6</v>
      </c>
      <c r="AL179" s="127">
        <f t="shared" si="786"/>
        <v>0.45</v>
      </c>
      <c r="AM179" s="127">
        <f t="shared" si="778"/>
        <v>0</v>
      </c>
      <c r="AN179" s="127">
        <f t="shared" si="787"/>
        <v>11.25</v>
      </c>
      <c r="AO179" s="127">
        <f t="shared" si="788"/>
        <v>1.08</v>
      </c>
      <c r="AP179" s="127">
        <f t="shared" si="789"/>
        <v>90</v>
      </c>
      <c r="AQ179" s="127">
        <f t="shared" si="790"/>
        <v>14.08</v>
      </c>
      <c r="AR179" s="127">
        <f t="shared" si="791"/>
        <v>10</v>
      </c>
      <c r="AS179" s="127">
        <f t="shared" si="792"/>
        <v>1.41</v>
      </c>
      <c r="AT179" s="127">
        <f t="shared" si="793"/>
        <v>1.25</v>
      </c>
      <c r="AU179" s="127">
        <f t="shared" si="794"/>
        <v>0</v>
      </c>
      <c r="AV179" s="127">
        <f t="shared" si="795"/>
        <v>11.25</v>
      </c>
      <c r="AW179" s="127">
        <f t="shared" si="796"/>
        <v>1.69</v>
      </c>
      <c r="AX179" s="127"/>
      <c r="AY179" s="127"/>
      <c r="AZ179" s="127">
        <f t="shared" si="766"/>
        <v>270</v>
      </c>
      <c r="BA179" s="127">
        <f t="shared" si="726"/>
        <v>30.639999999999997</v>
      </c>
      <c r="BB179" s="127">
        <f t="shared" si="767"/>
        <v>30</v>
      </c>
      <c r="BC179" s="127">
        <f t="shared" si="767"/>
        <v>3.03</v>
      </c>
      <c r="BD179" s="127">
        <f t="shared" si="767"/>
        <v>3.75</v>
      </c>
      <c r="BE179" s="127">
        <f t="shared" si="742"/>
        <v>0</v>
      </c>
      <c r="BF179" s="127">
        <f t="shared" si="741"/>
        <v>33.75</v>
      </c>
      <c r="BG179" s="127">
        <f t="shared" si="741"/>
        <v>3.67</v>
      </c>
      <c r="BH179" s="2"/>
      <c r="BI179" s="2"/>
      <c r="BJ179" s="2"/>
      <c r="BK179" s="2"/>
    </row>
    <row r="180" spans="1:68" ht="20.100000000000001" customHeight="1" x14ac:dyDescent="0.3">
      <c r="A180" s="15">
        <v>35</v>
      </c>
      <c r="B180" s="16" t="s">
        <v>127</v>
      </c>
      <c r="C180" s="17">
        <v>470</v>
      </c>
      <c r="D180" s="17">
        <v>45</v>
      </c>
      <c r="E180" s="19" t="e">
        <f>C180+D180+#REF!+#REF!</f>
        <v>#REF!</v>
      </c>
      <c r="F180" s="17">
        <v>0</v>
      </c>
      <c r="G180" s="28">
        <v>0</v>
      </c>
      <c r="H180" s="19" t="e">
        <f>F180+G180+#REF!</f>
        <v>#REF!</v>
      </c>
      <c r="I180" s="17">
        <v>32</v>
      </c>
      <c r="J180" s="17">
        <v>0</v>
      </c>
      <c r="K180" s="19">
        <f t="shared" si="755"/>
        <v>32</v>
      </c>
      <c r="L180" s="28">
        <v>48</v>
      </c>
      <c r="M180" s="28">
        <v>5</v>
      </c>
      <c r="N180" s="19">
        <f t="shared" si="682"/>
        <v>53</v>
      </c>
      <c r="O180" s="19">
        <f t="shared" si="824"/>
        <v>550</v>
      </c>
      <c r="P180" s="20">
        <f t="shared" si="824"/>
        <v>50</v>
      </c>
      <c r="Q180" s="19">
        <f t="shared" si="817"/>
        <v>600</v>
      </c>
      <c r="R180" s="17">
        <f t="shared" si="785"/>
        <v>117.5</v>
      </c>
      <c r="S180" s="17">
        <f t="shared" si="758"/>
        <v>6.75</v>
      </c>
      <c r="T180" s="17">
        <f t="shared" si="759"/>
        <v>0</v>
      </c>
      <c r="U180" s="17">
        <f t="shared" si="760"/>
        <v>0</v>
      </c>
      <c r="V180" s="17">
        <f t="shared" si="761"/>
        <v>8</v>
      </c>
      <c r="W180" s="17">
        <f t="shared" si="762"/>
        <v>0</v>
      </c>
      <c r="X180" s="17">
        <f t="shared" si="763"/>
        <v>12</v>
      </c>
      <c r="Y180" s="113">
        <f t="shared" si="764"/>
        <v>0.75</v>
      </c>
      <c r="Z180" s="127">
        <f t="shared" si="768"/>
        <v>83.19</v>
      </c>
      <c r="AA180" s="127">
        <f t="shared" si="769"/>
        <v>2.75</v>
      </c>
      <c r="AB180" s="127">
        <f t="shared" si="770"/>
        <v>0</v>
      </c>
      <c r="AC180" s="127">
        <f t="shared" si="771"/>
        <v>0</v>
      </c>
      <c r="AD180" s="127">
        <f t="shared" si="772"/>
        <v>5.12</v>
      </c>
      <c r="AE180" s="127">
        <f t="shared" si="773"/>
        <v>0</v>
      </c>
      <c r="AF180" s="127">
        <v>0</v>
      </c>
      <c r="AG180" s="127">
        <v>0</v>
      </c>
      <c r="AH180" s="127">
        <f t="shared" si="774"/>
        <v>34.31</v>
      </c>
      <c r="AI180" s="127">
        <f t="shared" si="775"/>
        <v>5.4</v>
      </c>
      <c r="AJ180" s="127">
        <f t="shared" si="776"/>
        <v>0</v>
      </c>
      <c r="AK180" s="127">
        <f t="shared" si="777"/>
        <v>0</v>
      </c>
      <c r="AL180" s="127">
        <f t="shared" si="786"/>
        <v>2.88</v>
      </c>
      <c r="AM180" s="127">
        <f t="shared" si="778"/>
        <v>0</v>
      </c>
      <c r="AN180" s="127">
        <f t="shared" si="787"/>
        <v>12</v>
      </c>
      <c r="AO180" s="127">
        <f t="shared" si="788"/>
        <v>0.9</v>
      </c>
      <c r="AP180" s="127">
        <f t="shared" si="789"/>
        <v>117.5</v>
      </c>
      <c r="AQ180" s="127">
        <f t="shared" si="790"/>
        <v>12.67</v>
      </c>
      <c r="AR180" s="127">
        <f t="shared" si="791"/>
        <v>0</v>
      </c>
      <c r="AS180" s="127">
        <f t="shared" si="792"/>
        <v>0</v>
      </c>
      <c r="AT180" s="127">
        <f t="shared" si="793"/>
        <v>8</v>
      </c>
      <c r="AU180" s="127">
        <f t="shared" si="794"/>
        <v>0</v>
      </c>
      <c r="AV180" s="127">
        <f t="shared" si="795"/>
        <v>12</v>
      </c>
      <c r="AW180" s="127">
        <f t="shared" si="796"/>
        <v>1.41</v>
      </c>
      <c r="AX180" s="127"/>
      <c r="AY180" s="127"/>
      <c r="AZ180" s="127">
        <f t="shared" si="766"/>
        <v>352.5</v>
      </c>
      <c r="BA180" s="127">
        <f t="shared" si="726"/>
        <v>27.57</v>
      </c>
      <c r="BB180" s="127">
        <f t="shared" si="767"/>
        <v>0</v>
      </c>
      <c r="BC180" s="127">
        <f t="shared" si="767"/>
        <v>0</v>
      </c>
      <c r="BD180" s="127">
        <f t="shared" si="767"/>
        <v>24</v>
      </c>
      <c r="BE180" s="127">
        <f t="shared" si="742"/>
        <v>0</v>
      </c>
      <c r="BF180" s="127">
        <f t="shared" si="741"/>
        <v>36</v>
      </c>
      <c r="BG180" s="127">
        <f t="shared" si="741"/>
        <v>3.06</v>
      </c>
      <c r="BH180" s="2"/>
      <c r="BI180" s="2"/>
      <c r="BJ180" s="2"/>
      <c r="BK180" s="2"/>
    </row>
    <row r="181" spans="1:68" s="6" customFormat="1" ht="20.100000000000001" customHeight="1" x14ac:dyDescent="0.3">
      <c r="A181" s="76"/>
      <c r="B181" s="77" t="s">
        <v>126</v>
      </c>
      <c r="C181" s="78">
        <f>+C179+C180</f>
        <v>830</v>
      </c>
      <c r="D181" s="78">
        <f t="shared" ref="D181:J181" si="825">+D179+D180</f>
        <v>95</v>
      </c>
      <c r="E181" s="78" t="e">
        <f t="shared" si="825"/>
        <v>#REF!</v>
      </c>
      <c r="F181" s="78">
        <f t="shared" si="825"/>
        <v>40</v>
      </c>
      <c r="G181" s="78">
        <f t="shared" si="825"/>
        <v>5</v>
      </c>
      <c r="H181" s="78" t="e">
        <f t="shared" si="825"/>
        <v>#REF!</v>
      </c>
      <c r="I181" s="78">
        <f t="shared" si="825"/>
        <v>37</v>
      </c>
      <c r="J181" s="78">
        <f t="shared" si="825"/>
        <v>0</v>
      </c>
      <c r="K181" s="78">
        <f t="shared" ref="K181" si="826">+K179+K180</f>
        <v>37</v>
      </c>
      <c r="L181" s="78">
        <f t="shared" ref="L181" si="827">+L179+L180</f>
        <v>93</v>
      </c>
      <c r="M181" s="78">
        <f t="shared" ref="M181:BG181" si="828">+M179+M180</f>
        <v>11</v>
      </c>
      <c r="N181" s="78">
        <f t="shared" si="828"/>
        <v>104</v>
      </c>
      <c r="O181" s="78">
        <f t="shared" si="828"/>
        <v>1000</v>
      </c>
      <c r="P181" s="78">
        <f t="shared" si="828"/>
        <v>111</v>
      </c>
      <c r="Q181" s="78">
        <f t="shared" si="828"/>
        <v>1111</v>
      </c>
      <c r="R181" s="78">
        <f t="shared" si="828"/>
        <v>207.5</v>
      </c>
      <c r="S181" s="78">
        <f t="shared" si="828"/>
        <v>14.25</v>
      </c>
      <c r="T181" s="78">
        <f t="shared" si="828"/>
        <v>10</v>
      </c>
      <c r="U181" s="78">
        <f t="shared" si="828"/>
        <v>0.75</v>
      </c>
      <c r="V181" s="78">
        <f t="shared" si="828"/>
        <v>9.25</v>
      </c>
      <c r="W181" s="78">
        <f t="shared" si="828"/>
        <v>0</v>
      </c>
      <c r="X181" s="78">
        <f t="shared" si="828"/>
        <v>23.25</v>
      </c>
      <c r="Y181" s="114">
        <f t="shared" si="828"/>
        <v>1.65</v>
      </c>
      <c r="Z181" s="78">
        <f t="shared" si="828"/>
        <v>146.91</v>
      </c>
      <c r="AA181" s="78">
        <f t="shared" si="828"/>
        <v>5.8100000000000005</v>
      </c>
      <c r="AB181" s="78">
        <f t="shared" si="828"/>
        <v>6.4</v>
      </c>
      <c r="AC181" s="78">
        <f t="shared" si="828"/>
        <v>0.27</v>
      </c>
      <c r="AD181" s="78">
        <f t="shared" si="828"/>
        <v>5.92</v>
      </c>
      <c r="AE181" s="78">
        <f t="shared" si="828"/>
        <v>0</v>
      </c>
      <c r="AF181" s="78">
        <f t="shared" si="828"/>
        <v>0</v>
      </c>
      <c r="AG181" s="78">
        <f t="shared" si="828"/>
        <v>0</v>
      </c>
      <c r="AH181" s="78">
        <f t="shared" si="828"/>
        <v>60.59</v>
      </c>
      <c r="AI181" s="78">
        <f t="shared" si="828"/>
        <v>11.4</v>
      </c>
      <c r="AJ181" s="78">
        <f t="shared" si="828"/>
        <v>3.6</v>
      </c>
      <c r="AK181" s="78">
        <f t="shared" si="828"/>
        <v>0.6</v>
      </c>
      <c r="AL181" s="78">
        <f t="shared" si="828"/>
        <v>3.33</v>
      </c>
      <c r="AM181" s="78">
        <f t="shared" si="828"/>
        <v>0</v>
      </c>
      <c r="AN181" s="78">
        <f t="shared" si="828"/>
        <v>23.25</v>
      </c>
      <c r="AO181" s="78">
        <f t="shared" si="828"/>
        <v>1.98</v>
      </c>
      <c r="AP181" s="78">
        <f t="shared" si="828"/>
        <v>207.5</v>
      </c>
      <c r="AQ181" s="78">
        <f t="shared" si="828"/>
        <v>26.75</v>
      </c>
      <c r="AR181" s="78">
        <f t="shared" si="828"/>
        <v>10</v>
      </c>
      <c r="AS181" s="78">
        <f t="shared" si="828"/>
        <v>1.41</v>
      </c>
      <c r="AT181" s="78">
        <f t="shared" si="828"/>
        <v>9.25</v>
      </c>
      <c r="AU181" s="78">
        <f t="shared" si="828"/>
        <v>0</v>
      </c>
      <c r="AV181" s="78">
        <f t="shared" si="828"/>
        <v>23.25</v>
      </c>
      <c r="AW181" s="78">
        <f t="shared" si="828"/>
        <v>3.0999999999999996</v>
      </c>
      <c r="AX181" s="78">
        <f t="shared" si="828"/>
        <v>0</v>
      </c>
      <c r="AY181" s="78">
        <f t="shared" si="828"/>
        <v>0</v>
      </c>
      <c r="AZ181" s="78">
        <f t="shared" si="828"/>
        <v>622.5</v>
      </c>
      <c r="BA181" s="78">
        <f t="shared" si="828"/>
        <v>58.209999999999994</v>
      </c>
      <c r="BB181" s="78">
        <f t="shared" si="828"/>
        <v>30</v>
      </c>
      <c r="BC181" s="78">
        <f t="shared" si="828"/>
        <v>3.03</v>
      </c>
      <c r="BD181" s="78">
        <f t="shared" si="828"/>
        <v>27.75</v>
      </c>
      <c r="BE181" s="78">
        <f t="shared" si="828"/>
        <v>0</v>
      </c>
      <c r="BF181" s="78">
        <f t="shared" si="828"/>
        <v>69.75</v>
      </c>
      <c r="BG181" s="78">
        <f t="shared" si="828"/>
        <v>6.73</v>
      </c>
      <c r="BH181" s="78"/>
      <c r="BI181" s="78"/>
      <c r="BJ181" s="78"/>
      <c r="BK181" s="78"/>
      <c r="BL181" s="78">
        <f t="shared" ref="BL181:BP181" si="829">+BL179+BL180</f>
        <v>0</v>
      </c>
      <c r="BM181" s="78">
        <f t="shared" si="829"/>
        <v>0</v>
      </c>
      <c r="BN181" s="78">
        <f t="shared" si="829"/>
        <v>0</v>
      </c>
      <c r="BO181" s="78">
        <f t="shared" si="829"/>
        <v>0</v>
      </c>
      <c r="BP181" s="78">
        <f t="shared" si="829"/>
        <v>0</v>
      </c>
    </row>
    <row r="182" spans="1:68" ht="20.100000000000001" customHeight="1" x14ac:dyDescent="0.3">
      <c r="A182" s="15">
        <v>36</v>
      </c>
      <c r="B182" s="16" t="s">
        <v>128</v>
      </c>
      <c r="C182" s="17">
        <v>890</v>
      </c>
      <c r="D182" s="17">
        <v>75</v>
      </c>
      <c r="E182" s="19" t="e">
        <f>C182+D182+#REF!+#REF!</f>
        <v>#REF!</v>
      </c>
      <c r="F182" s="17">
        <v>48</v>
      </c>
      <c r="G182" s="28">
        <v>0</v>
      </c>
      <c r="H182" s="19" t="e">
        <f>F182+G182+#REF!</f>
        <v>#REF!</v>
      </c>
      <c r="I182" s="17">
        <v>32</v>
      </c>
      <c r="J182" s="17">
        <v>0</v>
      </c>
      <c r="K182" s="19">
        <f t="shared" si="755"/>
        <v>32</v>
      </c>
      <c r="L182" s="28">
        <v>85</v>
      </c>
      <c r="M182" s="28">
        <v>10</v>
      </c>
      <c r="N182" s="19">
        <f t="shared" si="682"/>
        <v>95</v>
      </c>
      <c r="O182" s="19">
        <f t="shared" ref="O182:P185" si="830">C182+F182+I182+L182</f>
        <v>1055</v>
      </c>
      <c r="P182" s="20">
        <f t="shared" si="830"/>
        <v>85</v>
      </c>
      <c r="Q182" s="19">
        <f t="shared" si="817"/>
        <v>1140</v>
      </c>
      <c r="R182" s="17">
        <f t="shared" si="785"/>
        <v>222.5</v>
      </c>
      <c r="S182" s="17">
        <f t="shared" si="758"/>
        <v>11.25</v>
      </c>
      <c r="T182" s="17">
        <f t="shared" si="759"/>
        <v>12</v>
      </c>
      <c r="U182" s="17">
        <f t="shared" si="760"/>
        <v>0</v>
      </c>
      <c r="V182" s="17">
        <f t="shared" si="761"/>
        <v>8</v>
      </c>
      <c r="W182" s="17">
        <f t="shared" si="762"/>
        <v>0</v>
      </c>
      <c r="X182" s="17">
        <f t="shared" si="763"/>
        <v>21.25</v>
      </c>
      <c r="Y182" s="113">
        <f t="shared" si="764"/>
        <v>1.5</v>
      </c>
      <c r="Z182" s="127">
        <f t="shared" si="768"/>
        <v>157.53</v>
      </c>
      <c r="AA182" s="127">
        <f>ROUND(D182*6.11%,2)+0.03</f>
        <v>4.6100000000000003</v>
      </c>
      <c r="AB182" s="127">
        <f t="shared" si="770"/>
        <v>7.68</v>
      </c>
      <c r="AC182" s="127">
        <f t="shared" si="771"/>
        <v>0</v>
      </c>
      <c r="AD182" s="127">
        <f t="shared" si="772"/>
        <v>5.12</v>
      </c>
      <c r="AE182" s="127">
        <f t="shared" si="773"/>
        <v>0</v>
      </c>
      <c r="AF182" s="127">
        <v>0</v>
      </c>
      <c r="AG182" s="127">
        <v>0</v>
      </c>
      <c r="AH182" s="127">
        <f t="shared" si="774"/>
        <v>64.97</v>
      </c>
      <c r="AI182" s="127">
        <f t="shared" si="775"/>
        <v>9</v>
      </c>
      <c r="AJ182" s="127">
        <f t="shared" si="776"/>
        <v>4.32</v>
      </c>
      <c r="AK182" s="127">
        <f t="shared" si="777"/>
        <v>0</v>
      </c>
      <c r="AL182" s="127">
        <f t="shared" si="786"/>
        <v>2.88</v>
      </c>
      <c r="AM182" s="127">
        <f t="shared" si="778"/>
        <v>0</v>
      </c>
      <c r="AN182" s="127">
        <f t="shared" si="787"/>
        <v>21.25</v>
      </c>
      <c r="AO182" s="127">
        <f t="shared" si="788"/>
        <v>1.8</v>
      </c>
      <c r="AP182" s="127">
        <f t="shared" si="789"/>
        <v>222.5</v>
      </c>
      <c r="AQ182" s="127">
        <f t="shared" si="790"/>
        <v>21.11</v>
      </c>
      <c r="AR182" s="127">
        <f t="shared" si="791"/>
        <v>12</v>
      </c>
      <c r="AS182" s="127">
        <f t="shared" si="792"/>
        <v>0</v>
      </c>
      <c r="AT182" s="127">
        <f t="shared" si="793"/>
        <v>8</v>
      </c>
      <c r="AU182" s="127">
        <f t="shared" si="794"/>
        <v>0</v>
      </c>
      <c r="AV182" s="127">
        <f t="shared" si="795"/>
        <v>21.25</v>
      </c>
      <c r="AW182" s="127">
        <f t="shared" si="796"/>
        <v>2.82</v>
      </c>
      <c r="AX182" s="127"/>
      <c r="AY182" s="127"/>
      <c r="AZ182" s="127">
        <f t="shared" si="766"/>
        <v>667.5</v>
      </c>
      <c r="BA182" s="127">
        <f t="shared" si="726"/>
        <v>45.97</v>
      </c>
      <c r="BB182" s="127">
        <f t="shared" si="767"/>
        <v>36</v>
      </c>
      <c r="BC182" s="127">
        <f t="shared" si="767"/>
        <v>0</v>
      </c>
      <c r="BD182" s="127">
        <f t="shared" si="767"/>
        <v>24</v>
      </c>
      <c r="BE182" s="127">
        <f t="shared" si="742"/>
        <v>0</v>
      </c>
      <c r="BF182" s="127">
        <f t="shared" si="741"/>
        <v>63.75</v>
      </c>
      <c r="BG182" s="127">
        <f t="shared" si="741"/>
        <v>6.12</v>
      </c>
      <c r="BH182" s="2"/>
      <c r="BI182" s="2"/>
      <c r="BJ182" s="2"/>
      <c r="BK182" s="2"/>
    </row>
    <row r="183" spans="1:68" ht="20.100000000000001" customHeight="1" x14ac:dyDescent="0.3">
      <c r="A183" s="15">
        <v>37</v>
      </c>
      <c r="B183" s="16" t="s">
        <v>129</v>
      </c>
      <c r="C183" s="17">
        <v>1070</v>
      </c>
      <c r="D183" s="17">
        <v>120</v>
      </c>
      <c r="E183" s="19" t="e">
        <f>C183+D183+#REF!+#REF!</f>
        <v>#REF!</v>
      </c>
      <c r="F183" s="17">
        <v>25</v>
      </c>
      <c r="G183" s="28">
        <v>5</v>
      </c>
      <c r="H183" s="19" t="e">
        <f>F183+G183+#REF!</f>
        <v>#REF!</v>
      </c>
      <c r="I183" s="17">
        <v>28</v>
      </c>
      <c r="J183" s="17">
        <v>0</v>
      </c>
      <c r="K183" s="19">
        <f t="shared" si="755"/>
        <v>28</v>
      </c>
      <c r="L183" s="28">
        <v>50</v>
      </c>
      <c r="M183" s="28">
        <v>15</v>
      </c>
      <c r="N183" s="19">
        <f t="shared" ref="N183:N259" si="831">L183+M183</f>
        <v>65</v>
      </c>
      <c r="O183" s="19">
        <f t="shared" si="830"/>
        <v>1173</v>
      </c>
      <c r="P183" s="20">
        <f t="shared" si="830"/>
        <v>140</v>
      </c>
      <c r="Q183" s="19">
        <f t="shared" si="817"/>
        <v>1313</v>
      </c>
      <c r="R183" s="17">
        <f t="shared" si="785"/>
        <v>267.5</v>
      </c>
      <c r="S183" s="17">
        <f t="shared" si="758"/>
        <v>18</v>
      </c>
      <c r="T183" s="17">
        <f t="shared" si="759"/>
        <v>6.25</v>
      </c>
      <c r="U183" s="17">
        <f t="shared" si="760"/>
        <v>0.75</v>
      </c>
      <c r="V183" s="17">
        <f t="shared" si="761"/>
        <v>7</v>
      </c>
      <c r="W183" s="17">
        <f t="shared" si="762"/>
        <v>0</v>
      </c>
      <c r="X183" s="17">
        <f t="shared" si="763"/>
        <v>12.5</v>
      </c>
      <c r="Y183" s="113">
        <f t="shared" si="764"/>
        <v>2.25</v>
      </c>
      <c r="Z183" s="127">
        <f>ROUND(C183*17.7%,2)-0.05</f>
        <v>189.33999999999997</v>
      </c>
      <c r="AA183" s="127">
        <f t="shared" si="769"/>
        <v>7.33</v>
      </c>
      <c r="AB183" s="127">
        <f t="shared" si="770"/>
        <v>4</v>
      </c>
      <c r="AC183" s="127">
        <f t="shared" si="771"/>
        <v>0.27</v>
      </c>
      <c r="AD183" s="127">
        <f t="shared" si="772"/>
        <v>4.4800000000000004</v>
      </c>
      <c r="AE183" s="127">
        <f t="shared" si="773"/>
        <v>0</v>
      </c>
      <c r="AF183" s="127">
        <v>0</v>
      </c>
      <c r="AG183" s="127">
        <v>0</v>
      </c>
      <c r="AH183" s="127">
        <f t="shared" si="774"/>
        <v>78.11</v>
      </c>
      <c r="AI183" s="127">
        <f>ROUND(D183*12%,2)-0.91</f>
        <v>13.49</v>
      </c>
      <c r="AJ183" s="127">
        <f t="shared" si="776"/>
        <v>2.25</v>
      </c>
      <c r="AK183" s="127">
        <f t="shared" si="777"/>
        <v>0.6</v>
      </c>
      <c r="AL183" s="127">
        <f t="shared" si="786"/>
        <v>2.52</v>
      </c>
      <c r="AM183" s="127">
        <f t="shared" si="778"/>
        <v>0</v>
      </c>
      <c r="AN183" s="127">
        <f t="shared" si="787"/>
        <v>12.5</v>
      </c>
      <c r="AO183" s="127">
        <f t="shared" si="788"/>
        <v>2.7</v>
      </c>
      <c r="AP183" s="127">
        <f t="shared" si="789"/>
        <v>267.5</v>
      </c>
      <c r="AQ183" s="127">
        <f>ROUND(D183*28.15%,2)-0.07</f>
        <v>33.71</v>
      </c>
      <c r="AR183" s="127">
        <f t="shared" si="791"/>
        <v>6.25</v>
      </c>
      <c r="AS183" s="127">
        <f t="shared" si="792"/>
        <v>1.41</v>
      </c>
      <c r="AT183" s="127">
        <f t="shared" si="793"/>
        <v>7</v>
      </c>
      <c r="AU183" s="127">
        <f t="shared" si="794"/>
        <v>0</v>
      </c>
      <c r="AV183" s="127">
        <f t="shared" si="795"/>
        <v>12.5</v>
      </c>
      <c r="AW183" s="127">
        <f t="shared" si="796"/>
        <v>4.22</v>
      </c>
      <c r="AX183" s="127"/>
      <c r="AY183" s="127"/>
      <c r="AZ183" s="127">
        <f t="shared" si="766"/>
        <v>802.45</v>
      </c>
      <c r="BA183" s="127">
        <f t="shared" si="726"/>
        <v>72.53</v>
      </c>
      <c r="BB183" s="127">
        <f t="shared" si="767"/>
        <v>18.75</v>
      </c>
      <c r="BC183" s="127">
        <f t="shared" si="767"/>
        <v>3.03</v>
      </c>
      <c r="BD183" s="127">
        <f t="shared" si="767"/>
        <v>21</v>
      </c>
      <c r="BE183" s="127">
        <f t="shared" si="742"/>
        <v>0</v>
      </c>
      <c r="BF183" s="127">
        <f t="shared" si="741"/>
        <v>37.5</v>
      </c>
      <c r="BG183" s="127">
        <f t="shared" si="741"/>
        <v>9.17</v>
      </c>
      <c r="BH183" s="2"/>
      <c r="BI183" s="2"/>
      <c r="BJ183" s="2"/>
      <c r="BK183" s="2"/>
    </row>
    <row r="184" spans="1:68" ht="20.100000000000001" customHeight="1" x14ac:dyDescent="0.3">
      <c r="A184" s="15">
        <v>38</v>
      </c>
      <c r="B184" s="16" t="s">
        <v>130</v>
      </c>
      <c r="C184" s="17">
        <v>200</v>
      </c>
      <c r="D184" s="17">
        <v>30</v>
      </c>
      <c r="E184" s="19" t="e">
        <f>C184+D184+#REF!+#REF!</f>
        <v>#REF!</v>
      </c>
      <c r="F184" s="17">
        <v>80</v>
      </c>
      <c r="G184" s="28">
        <v>15</v>
      </c>
      <c r="H184" s="19" t="e">
        <f>F184+G184+#REF!</f>
        <v>#REF!</v>
      </c>
      <c r="I184" s="17">
        <v>55</v>
      </c>
      <c r="J184" s="17">
        <v>0</v>
      </c>
      <c r="K184" s="19">
        <f t="shared" si="755"/>
        <v>55</v>
      </c>
      <c r="L184" s="28">
        <v>25</v>
      </c>
      <c r="M184" s="28">
        <v>10</v>
      </c>
      <c r="N184" s="19">
        <f t="shared" si="831"/>
        <v>35</v>
      </c>
      <c r="O184" s="19">
        <f t="shared" si="830"/>
        <v>360</v>
      </c>
      <c r="P184" s="20">
        <f t="shared" si="830"/>
        <v>55</v>
      </c>
      <c r="Q184" s="19">
        <f t="shared" si="817"/>
        <v>415</v>
      </c>
      <c r="R184" s="17">
        <f t="shared" si="785"/>
        <v>50</v>
      </c>
      <c r="S184" s="17">
        <f t="shared" si="758"/>
        <v>4.5</v>
      </c>
      <c r="T184" s="17">
        <f t="shared" si="759"/>
        <v>20</v>
      </c>
      <c r="U184" s="17">
        <f t="shared" si="760"/>
        <v>2.25</v>
      </c>
      <c r="V184" s="17">
        <f t="shared" si="761"/>
        <v>13.75</v>
      </c>
      <c r="W184" s="17">
        <f t="shared" si="762"/>
        <v>0</v>
      </c>
      <c r="X184" s="17">
        <f t="shared" si="763"/>
        <v>6.25</v>
      </c>
      <c r="Y184" s="113">
        <f t="shared" si="764"/>
        <v>1.5</v>
      </c>
      <c r="Z184" s="127">
        <f t="shared" si="768"/>
        <v>35.4</v>
      </c>
      <c r="AA184" s="127">
        <f t="shared" si="769"/>
        <v>1.83</v>
      </c>
      <c r="AB184" s="127">
        <f t="shared" si="770"/>
        <v>12.8</v>
      </c>
      <c r="AC184" s="127">
        <f t="shared" si="771"/>
        <v>0.81</v>
      </c>
      <c r="AD184" s="127">
        <f t="shared" si="772"/>
        <v>8.8000000000000007</v>
      </c>
      <c r="AE184" s="127">
        <f t="shared" si="773"/>
        <v>0</v>
      </c>
      <c r="AF184" s="127">
        <v>0</v>
      </c>
      <c r="AG184" s="127">
        <v>0</v>
      </c>
      <c r="AH184" s="127">
        <f t="shared" si="774"/>
        <v>14.6</v>
      </c>
      <c r="AI184" s="127">
        <f t="shared" si="775"/>
        <v>3.6</v>
      </c>
      <c r="AJ184" s="127">
        <f t="shared" si="776"/>
        <v>7.2</v>
      </c>
      <c r="AK184" s="127">
        <f t="shared" si="777"/>
        <v>1.8</v>
      </c>
      <c r="AL184" s="127">
        <f t="shared" si="786"/>
        <v>4.95</v>
      </c>
      <c r="AM184" s="127">
        <f t="shared" si="778"/>
        <v>0</v>
      </c>
      <c r="AN184" s="127">
        <f t="shared" si="787"/>
        <v>6.25</v>
      </c>
      <c r="AO184" s="127">
        <f t="shared" si="788"/>
        <v>1.8</v>
      </c>
      <c r="AP184" s="127">
        <f t="shared" si="789"/>
        <v>50</v>
      </c>
      <c r="AQ184" s="127">
        <f t="shared" si="790"/>
        <v>8.4499999999999993</v>
      </c>
      <c r="AR184" s="127">
        <f t="shared" si="791"/>
        <v>20</v>
      </c>
      <c r="AS184" s="127">
        <f t="shared" si="792"/>
        <v>4.22</v>
      </c>
      <c r="AT184" s="127">
        <f t="shared" si="793"/>
        <v>13.75</v>
      </c>
      <c r="AU184" s="127">
        <f t="shared" si="794"/>
        <v>0</v>
      </c>
      <c r="AV184" s="127">
        <f t="shared" si="795"/>
        <v>6.25</v>
      </c>
      <c r="AW184" s="127">
        <f t="shared" si="796"/>
        <v>2.82</v>
      </c>
      <c r="AX184" s="127"/>
      <c r="AY184" s="127"/>
      <c r="AZ184" s="127">
        <f t="shared" si="766"/>
        <v>150</v>
      </c>
      <c r="BA184" s="127">
        <f t="shared" si="726"/>
        <v>18.38</v>
      </c>
      <c r="BB184" s="127">
        <f t="shared" si="767"/>
        <v>60</v>
      </c>
      <c r="BC184" s="127">
        <f t="shared" si="767"/>
        <v>9.08</v>
      </c>
      <c r="BD184" s="127">
        <f t="shared" si="767"/>
        <v>41.25</v>
      </c>
      <c r="BE184" s="127">
        <f t="shared" si="742"/>
        <v>0</v>
      </c>
      <c r="BF184" s="127">
        <f t="shared" si="741"/>
        <v>18.75</v>
      </c>
      <c r="BG184" s="127">
        <f t="shared" si="741"/>
        <v>6.12</v>
      </c>
      <c r="BH184" s="2"/>
      <c r="BI184" s="2"/>
      <c r="BJ184" s="2"/>
      <c r="BK184" s="2"/>
    </row>
    <row r="185" spans="1:68" ht="20.100000000000001" customHeight="1" x14ac:dyDescent="0.3">
      <c r="A185" s="15">
        <v>39</v>
      </c>
      <c r="B185" s="16" t="s">
        <v>131</v>
      </c>
      <c r="C185" s="17">
        <v>130</v>
      </c>
      <c r="D185" s="17">
        <v>40</v>
      </c>
      <c r="E185" s="19" t="e">
        <f>C185+D185+#REF!+#REF!</f>
        <v>#REF!</v>
      </c>
      <c r="F185" s="17">
        <v>245</v>
      </c>
      <c r="G185" s="28">
        <v>40</v>
      </c>
      <c r="H185" s="19" t="e">
        <f>F185+G185+#REF!</f>
        <v>#REF!</v>
      </c>
      <c r="I185" s="17">
        <v>60</v>
      </c>
      <c r="J185" s="17">
        <v>0</v>
      </c>
      <c r="K185" s="19">
        <f t="shared" si="755"/>
        <v>60</v>
      </c>
      <c r="L185" s="28">
        <v>45</v>
      </c>
      <c r="M185" s="28">
        <v>20</v>
      </c>
      <c r="N185" s="19">
        <f t="shared" si="831"/>
        <v>65</v>
      </c>
      <c r="O185" s="19">
        <f t="shared" si="830"/>
        <v>480</v>
      </c>
      <c r="P185" s="20">
        <f t="shared" si="830"/>
        <v>100</v>
      </c>
      <c r="Q185" s="19">
        <f t="shared" si="817"/>
        <v>580</v>
      </c>
      <c r="R185" s="17">
        <f t="shared" si="785"/>
        <v>32.5</v>
      </c>
      <c r="S185" s="17">
        <f t="shared" si="758"/>
        <v>6</v>
      </c>
      <c r="T185" s="17">
        <f t="shared" si="759"/>
        <v>61.25</v>
      </c>
      <c r="U185" s="17">
        <f t="shared" si="760"/>
        <v>6</v>
      </c>
      <c r="V185" s="17">
        <f t="shared" si="761"/>
        <v>15</v>
      </c>
      <c r="W185" s="17">
        <f t="shared" si="762"/>
        <v>0</v>
      </c>
      <c r="X185" s="17">
        <f t="shared" si="763"/>
        <v>11.25</v>
      </c>
      <c r="Y185" s="113">
        <f t="shared" si="764"/>
        <v>3</v>
      </c>
      <c r="Z185" s="127">
        <f t="shared" si="768"/>
        <v>23.01</v>
      </c>
      <c r="AA185" s="127">
        <f t="shared" si="769"/>
        <v>2.44</v>
      </c>
      <c r="AB185" s="127">
        <f t="shared" si="770"/>
        <v>39.200000000000003</v>
      </c>
      <c r="AC185" s="127">
        <f t="shared" si="771"/>
        <v>2.16</v>
      </c>
      <c r="AD185" s="127">
        <f t="shared" si="772"/>
        <v>9.6</v>
      </c>
      <c r="AE185" s="127">
        <f t="shared" si="773"/>
        <v>0</v>
      </c>
      <c r="AF185" s="127">
        <v>0</v>
      </c>
      <c r="AG185" s="127">
        <v>0</v>
      </c>
      <c r="AH185" s="127">
        <f t="shared" si="774"/>
        <v>9.49</v>
      </c>
      <c r="AI185" s="127">
        <f t="shared" si="775"/>
        <v>4.8</v>
      </c>
      <c r="AJ185" s="127">
        <f t="shared" si="776"/>
        <v>22.05</v>
      </c>
      <c r="AK185" s="127">
        <f t="shared" si="777"/>
        <v>4.8</v>
      </c>
      <c r="AL185" s="127">
        <f t="shared" si="786"/>
        <v>5.4</v>
      </c>
      <c r="AM185" s="127">
        <f t="shared" si="778"/>
        <v>0</v>
      </c>
      <c r="AN185" s="127">
        <f t="shared" si="787"/>
        <v>11.25</v>
      </c>
      <c r="AO185" s="127">
        <f t="shared" si="788"/>
        <v>3.6</v>
      </c>
      <c r="AP185" s="127">
        <f t="shared" si="789"/>
        <v>32.5</v>
      </c>
      <c r="AQ185" s="127">
        <f t="shared" si="790"/>
        <v>11.26</v>
      </c>
      <c r="AR185" s="127">
        <f t="shared" si="791"/>
        <v>61.25</v>
      </c>
      <c r="AS185" s="127">
        <f>ROUND(G185*28.15%,2)-0.04</f>
        <v>11.22</v>
      </c>
      <c r="AT185" s="127">
        <f t="shared" si="793"/>
        <v>15</v>
      </c>
      <c r="AU185" s="127">
        <f t="shared" si="794"/>
        <v>0</v>
      </c>
      <c r="AV185" s="127">
        <f t="shared" si="795"/>
        <v>11.25</v>
      </c>
      <c r="AW185" s="127">
        <f>ROUND(M185*28.15%,2)-0.05</f>
        <v>5.58</v>
      </c>
      <c r="AX185" s="127"/>
      <c r="AY185" s="127"/>
      <c r="AZ185" s="127">
        <f t="shared" si="766"/>
        <v>97.5</v>
      </c>
      <c r="BA185" s="127">
        <f t="shared" ref="BA185:BA248" si="832">+AQ185+AI185+AA185+S185+AY185</f>
        <v>24.5</v>
      </c>
      <c r="BB185" s="127">
        <f t="shared" si="767"/>
        <v>183.75</v>
      </c>
      <c r="BC185" s="127">
        <f t="shared" si="767"/>
        <v>24.18</v>
      </c>
      <c r="BD185" s="127">
        <f t="shared" si="767"/>
        <v>45</v>
      </c>
      <c r="BE185" s="127">
        <f t="shared" si="742"/>
        <v>0</v>
      </c>
      <c r="BF185" s="127">
        <f t="shared" si="741"/>
        <v>33.75</v>
      </c>
      <c r="BG185" s="127">
        <f t="shared" si="741"/>
        <v>12.18</v>
      </c>
      <c r="BH185" s="2"/>
      <c r="BI185" s="2"/>
      <c r="BJ185" s="2"/>
      <c r="BK185" s="2"/>
    </row>
    <row r="186" spans="1:68" s="6" customFormat="1" ht="20.100000000000001" customHeight="1" x14ac:dyDescent="0.3">
      <c r="A186" s="76"/>
      <c r="B186" s="77" t="s">
        <v>129</v>
      </c>
      <c r="C186" s="78">
        <f>+C183+C184+C185</f>
        <v>1400</v>
      </c>
      <c r="D186" s="78">
        <f t="shared" ref="D186:J186" si="833">+D183+D184+D185</f>
        <v>190</v>
      </c>
      <c r="E186" s="78" t="e">
        <f t="shared" si="833"/>
        <v>#REF!</v>
      </c>
      <c r="F186" s="78">
        <f t="shared" si="833"/>
        <v>350</v>
      </c>
      <c r="G186" s="78">
        <f t="shared" si="833"/>
        <v>60</v>
      </c>
      <c r="H186" s="78" t="e">
        <f t="shared" si="833"/>
        <v>#REF!</v>
      </c>
      <c r="I186" s="78">
        <f t="shared" si="833"/>
        <v>143</v>
      </c>
      <c r="J186" s="78">
        <f t="shared" si="833"/>
        <v>0</v>
      </c>
      <c r="K186" s="78">
        <f>+K183+K184+K185</f>
        <v>143</v>
      </c>
      <c r="L186" s="78">
        <f t="shared" ref="L186" si="834">+L183+L184+L185</f>
        <v>120</v>
      </c>
      <c r="M186" s="78">
        <f t="shared" ref="M186:BG186" si="835">+M183+M184+M185</f>
        <v>45</v>
      </c>
      <c r="N186" s="78">
        <f t="shared" si="835"/>
        <v>165</v>
      </c>
      <c r="O186" s="78">
        <f t="shared" si="835"/>
        <v>2013</v>
      </c>
      <c r="P186" s="78">
        <f t="shared" si="835"/>
        <v>295</v>
      </c>
      <c r="Q186" s="78">
        <f t="shared" si="835"/>
        <v>2308</v>
      </c>
      <c r="R186" s="78">
        <f t="shared" si="835"/>
        <v>350</v>
      </c>
      <c r="S186" s="78">
        <f t="shared" si="835"/>
        <v>28.5</v>
      </c>
      <c r="T186" s="78">
        <f t="shared" si="835"/>
        <v>87.5</v>
      </c>
      <c r="U186" s="78">
        <f t="shared" si="835"/>
        <v>9</v>
      </c>
      <c r="V186" s="78">
        <f t="shared" si="835"/>
        <v>35.75</v>
      </c>
      <c r="W186" s="78">
        <f t="shared" si="835"/>
        <v>0</v>
      </c>
      <c r="X186" s="78">
        <f t="shared" si="835"/>
        <v>30</v>
      </c>
      <c r="Y186" s="114">
        <f t="shared" si="835"/>
        <v>6.75</v>
      </c>
      <c r="Z186" s="78">
        <f t="shared" si="835"/>
        <v>247.74999999999997</v>
      </c>
      <c r="AA186" s="78">
        <f t="shared" si="835"/>
        <v>11.6</v>
      </c>
      <c r="AB186" s="78">
        <f t="shared" si="835"/>
        <v>56</v>
      </c>
      <c r="AC186" s="78">
        <f t="shared" si="835"/>
        <v>3.24</v>
      </c>
      <c r="AD186" s="78">
        <f t="shared" si="835"/>
        <v>22.880000000000003</v>
      </c>
      <c r="AE186" s="78">
        <f t="shared" si="835"/>
        <v>0</v>
      </c>
      <c r="AF186" s="78">
        <f t="shared" si="835"/>
        <v>0</v>
      </c>
      <c r="AG186" s="78">
        <f t="shared" si="835"/>
        <v>0</v>
      </c>
      <c r="AH186" s="78">
        <f t="shared" si="835"/>
        <v>102.19999999999999</v>
      </c>
      <c r="AI186" s="78">
        <f t="shared" si="835"/>
        <v>21.89</v>
      </c>
      <c r="AJ186" s="78">
        <f t="shared" si="835"/>
        <v>31.5</v>
      </c>
      <c r="AK186" s="78">
        <f t="shared" si="835"/>
        <v>7.1999999999999993</v>
      </c>
      <c r="AL186" s="78">
        <f t="shared" si="835"/>
        <v>12.870000000000001</v>
      </c>
      <c r="AM186" s="78">
        <f t="shared" si="835"/>
        <v>0</v>
      </c>
      <c r="AN186" s="78">
        <f t="shared" si="835"/>
        <v>30</v>
      </c>
      <c r="AO186" s="78">
        <f t="shared" si="835"/>
        <v>8.1</v>
      </c>
      <c r="AP186" s="78">
        <f t="shared" si="835"/>
        <v>350</v>
      </c>
      <c r="AQ186" s="78">
        <f t="shared" si="835"/>
        <v>53.419999999999995</v>
      </c>
      <c r="AR186" s="78">
        <f t="shared" si="835"/>
        <v>87.5</v>
      </c>
      <c r="AS186" s="78">
        <f t="shared" si="835"/>
        <v>16.850000000000001</v>
      </c>
      <c r="AT186" s="78">
        <f t="shared" si="835"/>
        <v>35.75</v>
      </c>
      <c r="AU186" s="78">
        <f t="shared" si="835"/>
        <v>0</v>
      </c>
      <c r="AV186" s="78">
        <f t="shared" si="835"/>
        <v>30</v>
      </c>
      <c r="AW186" s="78">
        <f t="shared" si="835"/>
        <v>12.62</v>
      </c>
      <c r="AX186" s="78">
        <f t="shared" si="835"/>
        <v>0</v>
      </c>
      <c r="AY186" s="78">
        <f t="shared" si="835"/>
        <v>0</v>
      </c>
      <c r="AZ186" s="78">
        <f t="shared" si="835"/>
        <v>1049.95</v>
      </c>
      <c r="BA186" s="78">
        <f t="shared" si="835"/>
        <v>115.41</v>
      </c>
      <c r="BB186" s="78">
        <f t="shared" si="835"/>
        <v>262.5</v>
      </c>
      <c r="BC186" s="78">
        <f t="shared" si="835"/>
        <v>36.29</v>
      </c>
      <c r="BD186" s="78">
        <f t="shared" si="835"/>
        <v>107.25</v>
      </c>
      <c r="BE186" s="78">
        <f t="shared" si="835"/>
        <v>0</v>
      </c>
      <c r="BF186" s="78">
        <f t="shared" si="835"/>
        <v>90</v>
      </c>
      <c r="BG186" s="78">
        <f t="shared" si="835"/>
        <v>27.47</v>
      </c>
      <c r="BH186" s="78"/>
      <c r="BI186" s="78"/>
      <c r="BJ186" s="78"/>
      <c r="BK186" s="78"/>
      <c r="BL186" s="78">
        <f t="shared" ref="BL186:BP186" si="836">+BL183+BL184+BL185</f>
        <v>0</v>
      </c>
      <c r="BM186" s="78">
        <f t="shared" si="836"/>
        <v>0</v>
      </c>
      <c r="BN186" s="78">
        <f t="shared" si="836"/>
        <v>0</v>
      </c>
      <c r="BO186" s="78">
        <f t="shared" si="836"/>
        <v>0</v>
      </c>
      <c r="BP186" s="78">
        <f t="shared" si="836"/>
        <v>0</v>
      </c>
    </row>
    <row r="187" spans="1:68" s="34" customFormat="1" ht="20.100000000000001" customHeight="1" x14ac:dyDescent="0.3">
      <c r="A187" s="31"/>
      <c r="B187" s="32" t="s">
        <v>132</v>
      </c>
      <c r="C187" s="33">
        <f>+C186+C182+C181+C178+C177+C176+C172+C171+C170+C167+C166+C163+C162+C159+C158+C148+C144+C141+C138</f>
        <v>20787</v>
      </c>
      <c r="D187" s="33">
        <f t="shared" ref="D187:BG187" si="837">+D186+D182+D181+D178+D177+D176+D172+D171+D170+D167+D166+D163+D162+D159+D158+D148+D144+D141+D138</f>
        <v>2233</v>
      </c>
      <c r="E187" s="33" t="e">
        <f t="shared" si="837"/>
        <v>#REF!</v>
      </c>
      <c r="F187" s="33">
        <f t="shared" si="837"/>
        <v>2651</v>
      </c>
      <c r="G187" s="33">
        <f t="shared" si="837"/>
        <v>649</v>
      </c>
      <c r="H187" s="33" t="e">
        <f t="shared" si="837"/>
        <v>#REF!</v>
      </c>
      <c r="I187" s="33">
        <f t="shared" si="837"/>
        <v>1336</v>
      </c>
      <c r="J187" s="33">
        <f t="shared" si="837"/>
        <v>44</v>
      </c>
      <c r="K187" s="33">
        <f t="shared" si="837"/>
        <v>1380</v>
      </c>
      <c r="L187" s="33">
        <f t="shared" si="837"/>
        <v>2207</v>
      </c>
      <c r="M187" s="33">
        <f t="shared" si="837"/>
        <v>293</v>
      </c>
      <c r="N187" s="33">
        <f t="shared" si="837"/>
        <v>2500</v>
      </c>
      <c r="O187" s="33">
        <f t="shared" si="837"/>
        <v>26981</v>
      </c>
      <c r="P187" s="33">
        <f t="shared" si="837"/>
        <v>3219</v>
      </c>
      <c r="Q187" s="33">
        <f t="shared" si="837"/>
        <v>30200</v>
      </c>
      <c r="R187" s="33">
        <f t="shared" si="837"/>
        <v>5196.75</v>
      </c>
      <c r="S187" s="33">
        <f t="shared" si="837"/>
        <v>334.95000000000005</v>
      </c>
      <c r="T187" s="33">
        <f t="shared" si="837"/>
        <v>662.75</v>
      </c>
      <c r="U187" s="33">
        <f t="shared" si="837"/>
        <v>97.35</v>
      </c>
      <c r="V187" s="33">
        <f t="shared" si="837"/>
        <v>334</v>
      </c>
      <c r="W187" s="33">
        <f t="shared" si="837"/>
        <v>6.6</v>
      </c>
      <c r="X187" s="33">
        <f t="shared" si="837"/>
        <v>551.75</v>
      </c>
      <c r="Y187" s="117">
        <f t="shared" si="837"/>
        <v>43.95</v>
      </c>
      <c r="Z187" s="33">
        <f t="shared" si="837"/>
        <v>3679.0399999999995</v>
      </c>
      <c r="AA187" s="33">
        <f t="shared" si="837"/>
        <v>136.54000000000002</v>
      </c>
      <c r="AB187" s="33">
        <f t="shared" si="837"/>
        <v>424.15999999999991</v>
      </c>
      <c r="AC187" s="33">
        <f t="shared" si="837"/>
        <v>35.080000000000005</v>
      </c>
      <c r="AD187" s="33">
        <f t="shared" si="837"/>
        <v>213.76</v>
      </c>
      <c r="AE187" s="33">
        <f t="shared" si="837"/>
        <v>2.38</v>
      </c>
      <c r="AF187" s="33">
        <f t="shared" si="837"/>
        <v>0</v>
      </c>
      <c r="AG187" s="33">
        <f t="shared" si="837"/>
        <v>0</v>
      </c>
      <c r="AH187" s="33">
        <f t="shared" si="837"/>
        <v>1517.7099999999998</v>
      </c>
      <c r="AI187" s="33">
        <f t="shared" si="837"/>
        <v>262.04999999999995</v>
      </c>
      <c r="AJ187" s="33">
        <f t="shared" si="837"/>
        <v>238.59</v>
      </c>
      <c r="AK187" s="33">
        <f t="shared" si="837"/>
        <v>80.769999999999982</v>
      </c>
      <c r="AL187" s="33">
        <f t="shared" si="837"/>
        <v>120.24</v>
      </c>
      <c r="AM187" s="33">
        <f t="shared" si="837"/>
        <v>5.47</v>
      </c>
      <c r="AN187" s="33">
        <f t="shared" si="837"/>
        <v>551.75</v>
      </c>
      <c r="AO187" s="33">
        <f t="shared" si="837"/>
        <v>52.300000000000004</v>
      </c>
      <c r="AP187" s="33">
        <f t="shared" si="837"/>
        <v>5196.75</v>
      </c>
      <c r="AQ187" s="33">
        <f t="shared" si="837"/>
        <v>628.58999999999992</v>
      </c>
      <c r="AR187" s="33">
        <f t="shared" si="837"/>
        <v>662.75</v>
      </c>
      <c r="AS187" s="33">
        <f t="shared" si="837"/>
        <v>182.68999999999997</v>
      </c>
      <c r="AT187" s="33">
        <f t="shared" si="837"/>
        <v>334</v>
      </c>
      <c r="AU187" s="33">
        <f t="shared" si="837"/>
        <v>12.39</v>
      </c>
      <c r="AV187" s="33">
        <f t="shared" si="837"/>
        <v>551.75</v>
      </c>
      <c r="AW187" s="33">
        <f t="shared" si="837"/>
        <v>82.479999999999976</v>
      </c>
      <c r="AX187" s="33">
        <f t="shared" si="837"/>
        <v>0</v>
      </c>
      <c r="AY187" s="33">
        <f t="shared" si="837"/>
        <v>0</v>
      </c>
      <c r="AZ187" s="33">
        <f t="shared" si="837"/>
        <v>15590.250000000002</v>
      </c>
      <c r="BA187" s="33">
        <f t="shared" si="837"/>
        <v>1362.1299999999999</v>
      </c>
      <c r="BB187" s="33">
        <f t="shared" si="837"/>
        <v>1988.25</v>
      </c>
      <c r="BC187" s="33">
        <f t="shared" si="837"/>
        <v>395.88999999999993</v>
      </c>
      <c r="BD187" s="33">
        <f t="shared" si="837"/>
        <v>1002</v>
      </c>
      <c r="BE187" s="33">
        <f t="shared" si="837"/>
        <v>26.84</v>
      </c>
      <c r="BF187" s="33">
        <f t="shared" si="837"/>
        <v>1655.25</v>
      </c>
      <c r="BG187" s="33">
        <f t="shared" si="837"/>
        <v>178.73000000000002</v>
      </c>
      <c r="BH187" s="2"/>
      <c r="BI187" s="2"/>
      <c r="BJ187" s="2"/>
      <c r="BK187" s="2"/>
    </row>
    <row r="188" spans="1:68" ht="20.100000000000001" customHeight="1" x14ac:dyDescent="0.3">
      <c r="A188" s="15">
        <v>1</v>
      </c>
      <c r="B188" s="24" t="s">
        <v>133</v>
      </c>
      <c r="C188" s="17">
        <v>839.21</v>
      </c>
      <c r="D188" s="17">
        <v>310.06</v>
      </c>
      <c r="E188" s="19" t="e">
        <f>C188+D188+#REF!+#REF!</f>
        <v>#REF!</v>
      </c>
      <c r="F188" s="17">
        <v>0</v>
      </c>
      <c r="G188" s="28">
        <v>0</v>
      </c>
      <c r="H188" s="19" t="e">
        <f>F188+G188+#REF!</f>
        <v>#REF!</v>
      </c>
      <c r="I188" s="17">
        <v>29.69</v>
      </c>
      <c r="J188" s="17">
        <v>21.8</v>
      </c>
      <c r="K188" s="19">
        <f t="shared" ref="K188:K224" si="838">I188+J188</f>
        <v>51.49</v>
      </c>
      <c r="L188" s="28">
        <v>77.349999999999994</v>
      </c>
      <c r="M188" s="28">
        <v>41.64</v>
      </c>
      <c r="N188" s="19">
        <f t="shared" si="831"/>
        <v>118.99</v>
      </c>
      <c r="O188" s="19">
        <f>C188+F188+I188+L188</f>
        <v>946.25000000000011</v>
      </c>
      <c r="P188" s="20">
        <f>D188+G188+J188+M188</f>
        <v>373.5</v>
      </c>
      <c r="Q188" s="19">
        <f t="shared" si="817"/>
        <v>1319.75</v>
      </c>
      <c r="R188" s="17">
        <f t="shared" ref="R188" si="839">ROUND(C188*0.25,2)</f>
        <v>209.8</v>
      </c>
      <c r="S188" s="17">
        <f t="shared" si="758"/>
        <v>46.51</v>
      </c>
      <c r="T188" s="17">
        <f t="shared" ref="T188:T224" si="840">ROUND(F188*0.25,2)</f>
        <v>0</v>
      </c>
      <c r="U188" s="17">
        <f t="shared" si="760"/>
        <v>0</v>
      </c>
      <c r="V188" s="17">
        <f t="shared" ref="V188:V222" si="841">ROUND(I188*0.25,2)</f>
        <v>7.42</v>
      </c>
      <c r="W188" s="17">
        <f t="shared" si="762"/>
        <v>3.27</v>
      </c>
      <c r="X188" s="17">
        <f t="shared" ref="X188:X224" si="842">ROUND(L188*0.25,2)</f>
        <v>19.34</v>
      </c>
      <c r="Y188" s="113">
        <f t="shared" si="764"/>
        <v>6.25</v>
      </c>
      <c r="Z188" s="127">
        <f>ROUND(C188*17.76%,2)</f>
        <v>149.04</v>
      </c>
      <c r="AA188" s="127">
        <f>ROUND(D188*6.06%,2)+0.03</f>
        <v>18.82</v>
      </c>
      <c r="AB188" s="127">
        <f>ROUND(F188*16%,2)</f>
        <v>0</v>
      </c>
      <c r="AC188" s="127">
        <f>ROUND(G188*5.08%,2)</f>
        <v>0</v>
      </c>
      <c r="AD188" s="127">
        <f>ROUND(I188*16%,2)</f>
        <v>4.75</v>
      </c>
      <c r="AE188" s="127">
        <f>ROUND(J188*5.08%,2)</f>
        <v>1.1100000000000001</v>
      </c>
      <c r="AF188" s="127">
        <v>0</v>
      </c>
      <c r="AG188" s="127">
        <v>0</v>
      </c>
      <c r="AH188" s="127">
        <f>ROUND(C188*7.24%,2)+0.02</f>
        <v>60.78</v>
      </c>
      <c r="AI188" s="127">
        <f>ROUND(D188*11.79%,2)</f>
        <v>36.56</v>
      </c>
      <c r="AJ188" s="127">
        <f>ROUND(F188*9%,2)</f>
        <v>0</v>
      </c>
      <c r="AK188" s="127">
        <f>ROUND(G188*12.77%,2)</f>
        <v>0</v>
      </c>
      <c r="AL188" s="127">
        <f t="shared" si="786"/>
        <v>2.67</v>
      </c>
      <c r="AM188" s="127">
        <f>ROUND(J188*13%,2)-0.19</f>
        <v>2.64</v>
      </c>
      <c r="AN188" s="127">
        <f t="shared" si="787"/>
        <v>19.34</v>
      </c>
      <c r="AO188" s="127">
        <f t="shared" si="788"/>
        <v>7.5</v>
      </c>
      <c r="AP188" s="127">
        <f t="shared" si="789"/>
        <v>209.8</v>
      </c>
      <c r="AQ188" s="127">
        <f t="shared" si="790"/>
        <v>87.28</v>
      </c>
      <c r="AR188" s="127">
        <f t="shared" si="791"/>
        <v>0</v>
      </c>
      <c r="AS188" s="127">
        <f t="shared" si="792"/>
        <v>0</v>
      </c>
      <c r="AT188" s="127">
        <f t="shared" si="793"/>
        <v>7.42</v>
      </c>
      <c r="AU188" s="127">
        <f t="shared" si="794"/>
        <v>6.14</v>
      </c>
      <c r="AV188" s="127">
        <f t="shared" si="795"/>
        <v>19.34</v>
      </c>
      <c r="AW188" s="127">
        <f t="shared" si="796"/>
        <v>11.72</v>
      </c>
      <c r="AX188" s="127"/>
      <c r="AY188" s="127"/>
      <c r="AZ188" s="127">
        <f t="shared" si="766"/>
        <v>629.42000000000007</v>
      </c>
      <c r="BA188" s="127">
        <f t="shared" si="832"/>
        <v>189.17</v>
      </c>
      <c r="BB188" s="127">
        <f t="shared" si="767"/>
        <v>0</v>
      </c>
      <c r="BC188" s="127">
        <f t="shared" si="767"/>
        <v>0</v>
      </c>
      <c r="BD188" s="127">
        <f t="shared" si="767"/>
        <v>22.259999999999998</v>
      </c>
      <c r="BE188" s="127">
        <f t="shared" si="742"/>
        <v>13.159999999999998</v>
      </c>
      <c r="BF188" s="127">
        <f t="shared" si="741"/>
        <v>58.019999999999996</v>
      </c>
      <c r="BG188" s="127">
        <f t="shared" si="741"/>
        <v>25.47</v>
      </c>
      <c r="BH188" s="2"/>
      <c r="BI188" s="2"/>
      <c r="BJ188" s="2"/>
      <c r="BK188" s="2"/>
    </row>
    <row r="189" spans="1:68" s="6" customFormat="1" ht="20.100000000000001" customHeight="1" x14ac:dyDescent="0.3">
      <c r="A189" s="76"/>
      <c r="B189" s="85" t="s">
        <v>133</v>
      </c>
      <c r="C189" s="78">
        <f>C188</f>
        <v>839.21</v>
      </c>
      <c r="D189" s="78">
        <f t="shared" ref="D189:BL189" si="843">D188</f>
        <v>310.06</v>
      </c>
      <c r="E189" s="78" t="e">
        <f t="shared" si="843"/>
        <v>#REF!</v>
      </c>
      <c r="F189" s="78">
        <f t="shared" si="843"/>
        <v>0</v>
      </c>
      <c r="G189" s="78">
        <f t="shared" si="843"/>
        <v>0</v>
      </c>
      <c r="H189" s="78" t="e">
        <f t="shared" si="843"/>
        <v>#REF!</v>
      </c>
      <c r="I189" s="78">
        <f t="shared" si="843"/>
        <v>29.69</v>
      </c>
      <c r="J189" s="78">
        <f t="shared" si="843"/>
        <v>21.8</v>
      </c>
      <c r="K189" s="78">
        <f t="shared" si="843"/>
        <v>51.49</v>
      </c>
      <c r="L189" s="78">
        <f t="shared" si="843"/>
        <v>77.349999999999994</v>
      </c>
      <c r="M189" s="78">
        <f t="shared" si="843"/>
        <v>41.64</v>
      </c>
      <c r="N189" s="78">
        <f t="shared" si="843"/>
        <v>118.99</v>
      </c>
      <c r="O189" s="78">
        <f t="shared" si="843"/>
        <v>946.25000000000011</v>
      </c>
      <c r="P189" s="78">
        <f t="shared" si="843"/>
        <v>373.5</v>
      </c>
      <c r="Q189" s="78">
        <f t="shared" si="843"/>
        <v>1319.75</v>
      </c>
      <c r="R189" s="78">
        <f t="shared" si="843"/>
        <v>209.8</v>
      </c>
      <c r="S189" s="78">
        <f t="shared" si="843"/>
        <v>46.51</v>
      </c>
      <c r="T189" s="78">
        <f t="shared" si="843"/>
        <v>0</v>
      </c>
      <c r="U189" s="78">
        <f t="shared" si="843"/>
        <v>0</v>
      </c>
      <c r="V189" s="78">
        <f t="shared" si="843"/>
        <v>7.42</v>
      </c>
      <c r="W189" s="78">
        <f t="shared" si="843"/>
        <v>3.27</v>
      </c>
      <c r="X189" s="78">
        <f t="shared" si="843"/>
        <v>19.34</v>
      </c>
      <c r="Y189" s="114">
        <f t="shared" si="843"/>
        <v>6.25</v>
      </c>
      <c r="Z189" s="78">
        <f t="shared" si="843"/>
        <v>149.04</v>
      </c>
      <c r="AA189" s="78">
        <f t="shared" si="843"/>
        <v>18.82</v>
      </c>
      <c r="AB189" s="78">
        <f t="shared" si="843"/>
        <v>0</v>
      </c>
      <c r="AC189" s="78">
        <f t="shared" si="843"/>
        <v>0</v>
      </c>
      <c r="AD189" s="78">
        <f t="shared" si="843"/>
        <v>4.75</v>
      </c>
      <c r="AE189" s="78">
        <f t="shared" si="843"/>
        <v>1.1100000000000001</v>
      </c>
      <c r="AF189" s="78">
        <f t="shared" si="843"/>
        <v>0</v>
      </c>
      <c r="AG189" s="78">
        <f t="shared" si="843"/>
        <v>0</v>
      </c>
      <c r="AH189" s="78">
        <f t="shared" si="843"/>
        <v>60.78</v>
      </c>
      <c r="AI189" s="78">
        <f t="shared" si="843"/>
        <v>36.56</v>
      </c>
      <c r="AJ189" s="78">
        <f t="shared" si="843"/>
        <v>0</v>
      </c>
      <c r="AK189" s="78">
        <f t="shared" si="843"/>
        <v>0</v>
      </c>
      <c r="AL189" s="78">
        <f t="shared" si="843"/>
        <v>2.67</v>
      </c>
      <c r="AM189" s="78">
        <f t="shared" si="843"/>
        <v>2.64</v>
      </c>
      <c r="AN189" s="78">
        <f t="shared" si="843"/>
        <v>19.34</v>
      </c>
      <c r="AO189" s="78">
        <f t="shared" si="843"/>
        <v>7.5</v>
      </c>
      <c r="AP189" s="78">
        <f t="shared" si="843"/>
        <v>209.8</v>
      </c>
      <c r="AQ189" s="78">
        <f t="shared" si="843"/>
        <v>87.28</v>
      </c>
      <c r="AR189" s="78">
        <f t="shared" si="843"/>
        <v>0</v>
      </c>
      <c r="AS189" s="78">
        <f t="shared" si="843"/>
        <v>0</v>
      </c>
      <c r="AT189" s="78">
        <f t="shared" si="843"/>
        <v>7.42</v>
      </c>
      <c r="AU189" s="78">
        <f t="shared" si="843"/>
        <v>6.14</v>
      </c>
      <c r="AV189" s="78">
        <f t="shared" si="843"/>
        <v>19.34</v>
      </c>
      <c r="AW189" s="78">
        <f t="shared" si="843"/>
        <v>11.72</v>
      </c>
      <c r="AX189" s="78">
        <f t="shared" si="843"/>
        <v>0</v>
      </c>
      <c r="AY189" s="78">
        <f t="shared" si="843"/>
        <v>0</v>
      </c>
      <c r="AZ189" s="78">
        <f t="shared" si="843"/>
        <v>629.42000000000007</v>
      </c>
      <c r="BA189" s="78">
        <f t="shared" si="843"/>
        <v>189.17</v>
      </c>
      <c r="BB189" s="78">
        <f t="shared" si="843"/>
        <v>0</v>
      </c>
      <c r="BC189" s="78">
        <f t="shared" si="843"/>
        <v>0</v>
      </c>
      <c r="BD189" s="78">
        <f t="shared" si="843"/>
        <v>22.259999999999998</v>
      </c>
      <c r="BE189" s="78">
        <f t="shared" si="843"/>
        <v>13.159999999999998</v>
      </c>
      <c r="BF189" s="78">
        <f t="shared" si="843"/>
        <v>58.019999999999996</v>
      </c>
      <c r="BG189" s="78">
        <f t="shared" si="843"/>
        <v>25.47</v>
      </c>
      <c r="BH189" s="78"/>
      <c r="BI189" s="78"/>
      <c r="BJ189" s="78"/>
      <c r="BK189" s="78"/>
      <c r="BL189" s="78">
        <f t="shared" si="843"/>
        <v>0</v>
      </c>
    </row>
    <row r="190" spans="1:68" ht="20.100000000000001" customHeight="1" x14ac:dyDescent="0.3">
      <c r="A190" s="15">
        <v>2</v>
      </c>
      <c r="B190" s="24" t="s">
        <v>134</v>
      </c>
      <c r="C190" s="17">
        <v>576.99</v>
      </c>
      <c r="D190" s="17">
        <v>32.590000000000003</v>
      </c>
      <c r="E190" s="19" t="e">
        <f>C190+D190+#REF!+#REF!</f>
        <v>#REF!</v>
      </c>
      <c r="F190" s="17">
        <v>0</v>
      </c>
      <c r="G190" s="28">
        <v>0</v>
      </c>
      <c r="H190" s="19" t="e">
        <f>F190+G190+#REF!</f>
        <v>#REF!</v>
      </c>
      <c r="I190" s="17">
        <v>30</v>
      </c>
      <c r="J190" s="17">
        <v>20</v>
      </c>
      <c r="K190" s="19">
        <f>I190+J190</f>
        <v>50</v>
      </c>
      <c r="L190" s="28">
        <v>83.3</v>
      </c>
      <c r="M190" s="28">
        <v>21.68</v>
      </c>
      <c r="N190" s="19">
        <f t="shared" si="831"/>
        <v>104.97999999999999</v>
      </c>
      <c r="O190" s="19">
        <f t="shared" ref="O190:P192" si="844">C190+F190+I190+L190</f>
        <v>690.29</v>
      </c>
      <c r="P190" s="20">
        <f t="shared" si="844"/>
        <v>74.27000000000001</v>
      </c>
      <c r="Q190" s="19">
        <f t="shared" si="817"/>
        <v>764.56</v>
      </c>
      <c r="R190" s="17">
        <f t="shared" ref="R190:R224" si="845">ROUND(C190*0.25,2)</f>
        <v>144.25</v>
      </c>
      <c r="S190" s="17">
        <f t="shared" si="758"/>
        <v>4.8899999999999997</v>
      </c>
      <c r="T190" s="17">
        <f t="shared" si="840"/>
        <v>0</v>
      </c>
      <c r="U190" s="17">
        <f t="shared" si="760"/>
        <v>0</v>
      </c>
      <c r="V190" s="17">
        <f t="shared" si="841"/>
        <v>7.5</v>
      </c>
      <c r="W190" s="17">
        <f t="shared" si="762"/>
        <v>3</v>
      </c>
      <c r="X190" s="17">
        <f t="shared" si="842"/>
        <v>20.83</v>
      </c>
      <c r="Y190" s="113">
        <f t="shared" si="764"/>
        <v>3.25</v>
      </c>
      <c r="Z190" s="127">
        <f t="shared" ref="Z190:Z222" si="846">ROUND(C190*17.76%,2)</f>
        <v>102.47</v>
      </c>
      <c r="AA190" s="127">
        <f t="shared" ref="AA190:AA224" si="847">ROUND(D190*6.06%,2)</f>
        <v>1.97</v>
      </c>
      <c r="AB190" s="127">
        <f t="shared" ref="AB190:AB224" si="848">ROUND(F190*16%,2)</f>
        <v>0</v>
      </c>
      <c r="AC190" s="127">
        <f t="shared" ref="AC190:AC224" si="849">ROUND(G190*5.08%,2)</f>
        <v>0</v>
      </c>
      <c r="AD190" s="127">
        <f t="shared" ref="AD190:AD224" si="850">ROUND(I190*16%,2)</f>
        <v>4.8</v>
      </c>
      <c r="AE190" s="127">
        <f t="shared" ref="AE190:AE222" si="851">ROUND(J190*5.08%,2)</f>
        <v>1.02</v>
      </c>
      <c r="AF190" s="127">
        <v>0</v>
      </c>
      <c r="AG190" s="127">
        <v>0</v>
      </c>
      <c r="AH190" s="127">
        <f>ROUND(C190*7.24%,2)+0.02</f>
        <v>41.790000000000006</v>
      </c>
      <c r="AI190" s="127">
        <f t="shared" ref="AI190:AI222" si="852">ROUND(D190*11.79%,2)</f>
        <v>3.84</v>
      </c>
      <c r="AJ190" s="127">
        <f t="shared" ref="AJ190:AJ224" si="853">ROUND(F190*9%,2)</f>
        <v>0</v>
      </c>
      <c r="AK190" s="127">
        <f t="shared" ref="AK190:AK224" si="854">ROUND(G190*12.77%,2)</f>
        <v>0</v>
      </c>
      <c r="AL190" s="127">
        <f t="shared" si="786"/>
        <v>2.7</v>
      </c>
      <c r="AM190" s="127">
        <f t="shared" ref="AM190:AM226" si="855">ROUND(J190*13%,2)</f>
        <v>2.6</v>
      </c>
      <c r="AN190" s="127">
        <f t="shared" si="787"/>
        <v>20.83</v>
      </c>
      <c r="AO190" s="127">
        <f t="shared" si="788"/>
        <v>3.9</v>
      </c>
      <c r="AP190" s="127">
        <f t="shared" si="789"/>
        <v>144.25</v>
      </c>
      <c r="AQ190" s="127">
        <f t="shared" si="790"/>
        <v>9.17</v>
      </c>
      <c r="AR190" s="127">
        <f t="shared" si="791"/>
        <v>0</v>
      </c>
      <c r="AS190" s="127">
        <f t="shared" si="792"/>
        <v>0</v>
      </c>
      <c r="AT190" s="127">
        <f t="shared" si="793"/>
        <v>7.5</v>
      </c>
      <c r="AU190" s="127">
        <f t="shared" si="794"/>
        <v>5.63</v>
      </c>
      <c r="AV190" s="127">
        <f t="shared" si="795"/>
        <v>20.83</v>
      </c>
      <c r="AW190" s="127">
        <f t="shared" si="796"/>
        <v>6.1</v>
      </c>
      <c r="AX190" s="127"/>
      <c r="AY190" s="127"/>
      <c r="AZ190" s="127">
        <f t="shared" si="766"/>
        <v>432.76</v>
      </c>
      <c r="BA190" s="127">
        <f t="shared" si="832"/>
        <v>19.87</v>
      </c>
      <c r="BB190" s="127">
        <f t="shared" si="767"/>
        <v>0</v>
      </c>
      <c r="BC190" s="127">
        <f t="shared" si="767"/>
        <v>0</v>
      </c>
      <c r="BD190" s="127">
        <f t="shared" si="767"/>
        <v>22.5</v>
      </c>
      <c r="BE190" s="127">
        <f t="shared" si="742"/>
        <v>12.25</v>
      </c>
      <c r="BF190" s="127">
        <f t="shared" si="741"/>
        <v>62.489999999999995</v>
      </c>
      <c r="BG190" s="127">
        <f t="shared" si="741"/>
        <v>13.25</v>
      </c>
      <c r="BH190" s="2"/>
      <c r="BI190" s="2"/>
      <c r="BJ190" s="2"/>
      <c r="BK190" s="2"/>
      <c r="BL190" s="1">
        <f>8.44/166*100</f>
        <v>5.0843373493975896</v>
      </c>
    </row>
    <row r="191" spans="1:68" ht="20.100000000000001" customHeight="1" x14ac:dyDescent="0.3">
      <c r="A191" s="15">
        <v>3</v>
      </c>
      <c r="B191" s="24" t="s">
        <v>135</v>
      </c>
      <c r="C191" s="17">
        <v>315.29000000000002</v>
      </c>
      <c r="D191" s="17">
        <v>11.64</v>
      </c>
      <c r="E191" s="19" t="e">
        <f>C191+D191+#REF!+#REF!</f>
        <v>#REF!</v>
      </c>
      <c r="F191" s="17">
        <v>0</v>
      </c>
      <c r="G191" s="28">
        <v>0</v>
      </c>
      <c r="H191" s="19" t="e">
        <f>F191+G191+#REF!</f>
        <v>#REF!</v>
      </c>
      <c r="I191" s="17">
        <v>0</v>
      </c>
      <c r="J191" s="17">
        <v>0</v>
      </c>
      <c r="K191" s="19">
        <f t="shared" si="838"/>
        <v>0</v>
      </c>
      <c r="L191" s="28">
        <v>49.15</v>
      </c>
      <c r="M191" s="28">
        <v>1.39</v>
      </c>
      <c r="N191" s="19">
        <f t="shared" si="831"/>
        <v>50.54</v>
      </c>
      <c r="O191" s="19">
        <f t="shared" si="844"/>
        <v>364.44</v>
      </c>
      <c r="P191" s="20">
        <f t="shared" si="844"/>
        <v>13.030000000000001</v>
      </c>
      <c r="Q191" s="19">
        <f t="shared" si="817"/>
        <v>377.47</v>
      </c>
      <c r="R191" s="17">
        <f t="shared" si="845"/>
        <v>78.819999999999993</v>
      </c>
      <c r="S191" s="17">
        <f t="shared" si="758"/>
        <v>1.75</v>
      </c>
      <c r="T191" s="17">
        <f t="shared" si="840"/>
        <v>0</v>
      </c>
      <c r="U191" s="17">
        <f t="shared" si="760"/>
        <v>0</v>
      </c>
      <c r="V191" s="17">
        <f t="shared" si="841"/>
        <v>0</v>
      </c>
      <c r="W191" s="17">
        <f t="shared" si="762"/>
        <v>0</v>
      </c>
      <c r="X191" s="75">
        <f>ROUND(L191*0.25,2)-0.01</f>
        <v>12.28</v>
      </c>
      <c r="Y191" s="113">
        <f t="shared" si="764"/>
        <v>0.21</v>
      </c>
      <c r="Z191" s="127">
        <f t="shared" si="846"/>
        <v>56</v>
      </c>
      <c r="AA191" s="127">
        <f t="shared" si="847"/>
        <v>0.71</v>
      </c>
      <c r="AB191" s="127">
        <f t="shared" si="848"/>
        <v>0</v>
      </c>
      <c r="AC191" s="127">
        <f t="shared" si="849"/>
        <v>0</v>
      </c>
      <c r="AD191" s="127">
        <f t="shared" si="850"/>
        <v>0</v>
      </c>
      <c r="AE191" s="127">
        <f t="shared" si="851"/>
        <v>0</v>
      </c>
      <c r="AF191" s="127">
        <v>0</v>
      </c>
      <c r="AG191" s="127">
        <v>0</v>
      </c>
      <c r="AH191" s="127">
        <f t="shared" ref="AH191:AH224" si="856">ROUND(C191*7.24%,2)</f>
        <v>22.83</v>
      </c>
      <c r="AI191" s="127">
        <f t="shared" si="852"/>
        <v>1.37</v>
      </c>
      <c r="AJ191" s="127">
        <f t="shared" si="853"/>
        <v>0</v>
      </c>
      <c r="AK191" s="127">
        <f t="shared" si="854"/>
        <v>0</v>
      </c>
      <c r="AL191" s="127">
        <f t="shared" si="786"/>
        <v>0</v>
      </c>
      <c r="AM191" s="127">
        <f t="shared" si="855"/>
        <v>0</v>
      </c>
      <c r="AN191" s="127">
        <f t="shared" si="787"/>
        <v>12.29</v>
      </c>
      <c r="AO191" s="127">
        <f t="shared" si="788"/>
        <v>0.25</v>
      </c>
      <c r="AP191" s="127">
        <f t="shared" si="789"/>
        <v>78.819999999999993</v>
      </c>
      <c r="AQ191" s="127">
        <f t="shared" si="790"/>
        <v>3.28</v>
      </c>
      <c r="AR191" s="127">
        <f t="shared" si="791"/>
        <v>0</v>
      </c>
      <c r="AS191" s="127">
        <f t="shared" si="792"/>
        <v>0</v>
      </c>
      <c r="AT191" s="127">
        <f t="shared" si="793"/>
        <v>0</v>
      </c>
      <c r="AU191" s="127">
        <f t="shared" si="794"/>
        <v>0</v>
      </c>
      <c r="AV191" s="127">
        <f t="shared" si="795"/>
        <v>12.29</v>
      </c>
      <c r="AW191" s="127">
        <f t="shared" si="796"/>
        <v>0.39</v>
      </c>
      <c r="AX191" s="127"/>
      <c r="AY191" s="127"/>
      <c r="AZ191" s="127">
        <f t="shared" si="766"/>
        <v>236.46999999999997</v>
      </c>
      <c r="BA191" s="127">
        <f t="shared" si="832"/>
        <v>7.11</v>
      </c>
      <c r="BB191" s="127">
        <f t="shared" si="767"/>
        <v>0</v>
      </c>
      <c r="BC191" s="127">
        <f t="shared" si="767"/>
        <v>0</v>
      </c>
      <c r="BD191" s="127">
        <f t="shared" si="767"/>
        <v>0</v>
      </c>
      <c r="BE191" s="127">
        <f t="shared" si="742"/>
        <v>0</v>
      </c>
      <c r="BF191" s="127">
        <f t="shared" si="741"/>
        <v>36.86</v>
      </c>
      <c r="BG191" s="127">
        <f t="shared" si="741"/>
        <v>0.85</v>
      </c>
      <c r="BH191" s="2"/>
      <c r="BI191" s="2"/>
      <c r="BJ191" s="2"/>
      <c r="BK191" s="2"/>
    </row>
    <row r="192" spans="1:68" ht="20.100000000000001" customHeight="1" x14ac:dyDescent="0.3">
      <c r="A192" s="15">
        <v>4</v>
      </c>
      <c r="B192" s="24" t="s">
        <v>136</v>
      </c>
      <c r="C192" s="17">
        <v>99</v>
      </c>
      <c r="D192" s="17">
        <v>40</v>
      </c>
      <c r="E192" s="19" t="e">
        <f>C192+D192+#REF!+#REF!</f>
        <v>#REF!</v>
      </c>
      <c r="F192" s="17">
        <v>0</v>
      </c>
      <c r="G192" s="28">
        <v>0</v>
      </c>
      <c r="H192" s="19" t="e">
        <f>F192+G192+#REF!</f>
        <v>#REF!</v>
      </c>
      <c r="I192" s="17">
        <v>0</v>
      </c>
      <c r="J192" s="17">
        <v>0</v>
      </c>
      <c r="K192" s="19">
        <f t="shared" si="838"/>
        <v>0</v>
      </c>
      <c r="L192" s="28">
        <v>19.989999999999998</v>
      </c>
      <c r="M192" s="28">
        <v>1.39</v>
      </c>
      <c r="N192" s="19">
        <f t="shared" si="831"/>
        <v>21.38</v>
      </c>
      <c r="O192" s="19">
        <f t="shared" si="844"/>
        <v>118.99</v>
      </c>
      <c r="P192" s="20">
        <f t="shared" si="844"/>
        <v>41.39</v>
      </c>
      <c r="Q192" s="19">
        <f t="shared" si="817"/>
        <v>160.38</v>
      </c>
      <c r="R192" s="17">
        <f t="shared" si="845"/>
        <v>24.75</v>
      </c>
      <c r="S192" s="17">
        <f t="shared" si="758"/>
        <v>6</v>
      </c>
      <c r="T192" s="17">
        <f t="shared" si="840"/>
        <v>0</v>
      </c>
      <c r="U192" s="17">
        <f t="shared" si="760"/>
        <v>0</v>
      </c>
      <c r="V192" s="17">
        <f t="shared" si="841"/>
        <v>0</v>
      </c>
      <c r="W192" s="17">
        <f t="shared" si="762"/>
        <v>0</v>
      </c>
      <c r="X192" s="17">
        <f t="shared" si="842"/>
        <v>5</v>
      </c>
      <c r="Y192" s="113">
        <f t="shared" si="764"/>
        <v>0.21</v>
      </c>
      <c r="Z192" s="127">
        <f t="shared" si="846"/>
        <v>17.579999999999998</v>
      </c>
      <c r="AA192" s="127">
        <f t="shared" si="847"/>
        <v>2.42</v>
      </c>
      <c r="AB192" s="127">
        <f t="shared" si="848"/>
        <v>0</v>
      </c>
      <c r="AC192" s="127">
        <f t="shared" si="849"/>
        <v>0</v>
      </c>
      <c r="AD192" s="127">
        <f t="shared" si="850"/>
        <v>0</v>
      </c>
      <c r="AE192" s="127">
        <f t="shared" si="851"/>
        <v>0</v>
      </c>
      <c r="AF192" s="127">
        <v>0</v>
      </c>
      <c r="AG192" s="127">
        <v>0</v>
      </c>
      <c r="AH192" s="127">
        <f t="shared" si="856"/>
        <v>7.17</v>
      </c>
      <c r="AI192" s="127">
        <f t="shared" si="852"/>
        <v>4.72</v>
      </c>
      <c r="AJ192" s="127">
        <f t="shared" si="853"/>
        <v>0</v>
      </c>
      <c r="AK192" s="127">
        <f t="shared" si="854"/>
        <v>0</v>
      </c>
      <c r="AL192" s="127">
        <f t="shared" si="786"/>
        <v>0</v>
      </c>
      <c r="AM192" s="127">
        <f t="shared" si="855"/>
        <v>0</v>
      </c>
      <c r="AN192" s="127">
        <f t="shared" si="787"/>
        <v>5</v>
      </c>
      <c r="AO192" s="127">
        <f t="shared" si="788"/>
        <v>0.25</v>
      </c>
      <c r="AP192" s="127">
        <f t="shared" si="789"/>
        <v>24.75</v>
      </c>
      <c r="AQ192" s="127">
        <f t="shared" si="790"/>
        <v>11.26</v>
      </c>
      <c r="AR192" s="127">
        <f t="shared" si="791"/>
        <v>0</v>
      </c>
      <c r="AS192" s="127">
        <f t="shared" si="792"/>
        <v>0</v>
      </c>
      <c r="AT192" s="127">
        <f t="shared" si="793"/>
        <v>0</v>
      </c>
      <c r="AU192" s="127">
        <f t="shared" si="794"/>
        <v>0</v>
      </c>
      <c r="AV192" s="127">
        <f t="shared" si="795"/>
        <v>5</v>
      </c>
      <c r="AW192" s="127">
        <f t="shared" si="796"/>
        <v>0.39</v>
      </c>
      <c r="AX192" s="127"/>
      <c r="AY192" s="127"/>
      <c r="AZ192" s="127">
        <f t="shared" si="766"/>
        <v>74.25</v>
      </c>
      <c r="BA192" s="127">
        <f t="shared" si="832"/>
        <v>24.4</v>
      </c>
      <c r="BB192" s="127">
        <f t="shared" si="767"/>
        <v>0</v>
      </c>
      <c r="BC192" s="127">
        <f t="shared" si="767"/>
        <v>0</v>
      </c>
      <c r="BD192" s="127">
        <f t="shared" si="767"/>
        <v>0</v>
      </c>
      <c r="BE192" s="127">
        <f t="shared" si="742"/>
        <v>0</v>
      </c>
      <c r="BF192" s="127">
        <f t="shared" si="741"/>
        <v>15</v>
      </c>
      <c r="BG192" s="127">
        <f t="shared" si="741"/>
        <v>0.85</v>
      </c>
      <c r="BH192" s="2"/>
      <c r="BI192" s="2"/>
      <c r="BJ192" s="2"/>
      <c r="BK192" s="2"/>
    </row>
    <row r="193" spans="1:68" s="6" customFormat="1" ht="20.100000000000001" customHeight="1" x14ac:dyDescent="0.3">
      <c r="A193" s="76"/>
      <c r="B193" s="85" t="s">
        <v>134</v>
      </c>
      <c r="C193" s="78">
        <f>+C190+C191+C192</f>
        <v>991.28</v>
      </c>
      <c r="D193" s="78">
        <f t="shared" ref="D193:J193" si="857">+D190+D191+D192</f>
        <v>84.23</v>
      </c>
      <c r="E193" s="78" t="e">
        <f t="shared" si="857"/>
        <v>#REF!</v>
      </c>
      <c r="F193" s="78">
        <f t="shared" si="857"/>
        <v>0</v>
      </c>
      <c r="G193" s="78">
        <f t="shared" si="857"/>
        <v>0</v>
      </c>
      <c r="H193" s="78" t="e">
        <f t="shared" si="857"/>
        <v>#REF!</v>
      </c>
      <c r="I193" s="78">
        <f t="shared" si="857"/>
        <v>30</v>
      </c>
      <c r="J193" s="78">
        <f t="shared" si="857"/>
        <v>20</v>
      </c>
      <c r="K193" s="78">
        <f>+K190+K191+K192</f>
        <v>50</v>
      </c>
      <c r="L193" s="78">
        <f t="shared" ref="L193" si="858">+L190+L191+L192</f>
        <v>152.44</v>
      </c>
      <c r="M193" s="78">
        <f t="shared" ref="M193:BG193" si="859">+M190+M191+M192</f>
        <v>24.46</v>
      </c>
      <c r="N193" s="78">
        <f t="shared" si="859"/>
        <v>176.89999999999998</v>
      </c>
      <c r="O193" s="78">
        <f t="shared" si="859"/>
        <v>1173.72</v>
      </c>
      <c r="P193" s="78">
        <f t="shared" si="859"/>
        <v>128.69</v>
      </c>
      <c r="Q193" s="78">
        <f t="shared" si="859"/>
        <v>1302.4099999999999</v>
      </c>
      <c r="R193" s="78">
        <f t="shared" si="859"/>
        <v>247.82</v>
      </c>
      <c r="S193" s="78">
        <f t="shared" si="859"/>
        <v>12.64</v>
      </c>
      <c r="T193" s="78">
        <f t="shared" si="859"/>
        <v>0</v>
      </c>
      <c r="U193" s="78">
        <f t="shared" si="859"/>
        <v>0</v>
      </c>
      <c r="V193" s="78">
        <f t="shared" si="859"/>
        <v>7.5</v>
      </c>
      <c r="W193" s="78">
        <f t="shared" si="859"/>
        <v>3</v>
      </c>
      <c r="X193" s="78">
        <f t="shared" si="859"/>
        <v>38.11</v>
      </c>
      <c r="Y193" s="114">
        <f t="shared" si="859"/>
        <v>3.67</v>
      </c>
      <c r="Z193" s="78">
        <f t="shared" si="859"/>
        <v>176.05</v>
      </c>
      <c r="AA193" s="78">
        <f t="shared" si="859"/>
        <v>5.0999999999999996</v>
      </c>
      <c r="AB193" s="78">
        <f t="shared" si="859"/>
        <v>0</v>
      </c>
      <c r="AC193" s="78">
        <f t="shared" si="859"/>
        <v>0</v>
      </c>
      <c r="AD193" s="78">
        <f t="shared" si="859"/>
        <v>4.8</v>
      </c>
      <c r="AE193" s="78">
        <f t="shared" si="859"/>
        <v>1.02</v>
      </c>
      <c r="AF193" s="78">
        <f t="shared" si="859"/>
        <v>0</v>
      </c>
      <c r="AG193" s="78">
        <f t="shared" si="859"/>
        <v>0</v>
      </c>
      <c r="AH193" s="78">
        <f t="shared" si="859"/>
        <v>71.790000000000006</v>
      </c>
      <c r="AI193" s="78">
        <f t="shared" si="859"/>
        <v>9.93</v>
      </c>
      <c r="AJ193" s="78">
        <f t="shared" si="859"/>
        <v>0</v>
      </c>
      <c r="AK193" s="78">
        <f t="shared" si="859"/>
        <v>0</v>
      </c>
      <c r="AL193" s="78">
        <f t="shared" si="859"/>
        <v>2.7</v>
      </c>
      <c r="AM193" s="78">
        <f t="shared" si="859"/>
        <v>2.6</v>
      </c>
      <c r="AN193" s="78">
        <f t="shared" si="859"/>
        <v>38.119999999999997</v>
      </c>
      <c r="AO193" s="78">
        <f t="shared" si="859"/>
        <v>4.4000000000000004</v>
      </c>
      <c r="AP193" s="78">
        <f t="shared" si="859"/>
        <v>247.82</v>
      </c>
      <c r="AQ193" s="78">
        <f t="shared" si="859"/>
        <v>23.71</v>
      </c>
      <c r="AR193" s="78">
        <f t="shared" si="859"/>
        <v>0</v>
      </c>
      <c r="AS193" s="78">
        <f t="shared" si="859"/>
        <v>0</v>
      </c>
      <c r="AT193" s="78">
        <f t="shared" si="859"/>
        <v>7.5</v>
      </c>
      <c r="AU193" s="78">
        <f t="shared" si="859"/>
        <v>5.63</v>
      </c>
      <c r="AV193" s="78">
        <f t="shared" si="859"/>
        <v>38.119999999999997</v>
      </c>
      <c r="AW193" s="78">
        <f t="shared" si="859"/>
        <v>6.879999999999999</v>
      </c>
      <c r="AX193" s="78">
        <f t="shared" si="859"/>
        <v>0</v>
      </c>
      <c r="AY193" s="78">
        <f t="shared" si="859"/>
        <v>0</v>
      </c>
      <c r="AZ193" s="78">
        <f t="shared" si="859"/>
        <v>743.48</v>
      </c>
      <c r="BA193" s="78">
        <f t="shared" si="859"/>
        <v>51.379999999999995</v>
      </c>
      <c r="BB193" s="78">
        <f t="shared" si="859"/>
        <v>0</v>
      </c>
      <c r="BC193" s="78">
        <f t="shared" si="859"/>
        <v>0</v>
      </c>
      <c r="BD193" s="78">
        <f t="shared" si="859"/>
        <v>22.5</v>
      </c>
      <c r="BE193" s="78">
        <f t="shared" si="859"/>
        <v>12.25</v>
      </c>
      <c r="BF193" s="78">
        <f t="shared" si="859"/>
        <v>114.35</v>
      </c>
      <c r="BG193" s="78">
        <f t="shared" si="859"/>
        <v>14.95</v>
      </c>
      <c r="BH193" s="78"/>
      <c r="BI193" s="78"/>
      <c r="BJ193" s="78"/>
      <c r="BK193" s="78"/>
      <c r="BL193" s="78">
        <f t="shared" ref="BL193" si="860">+BL190+BL191+BL192</f>
        <v>5.0843373493975896</v>
      </c>
    </row>
    <row r="194" spans="1:68" ht="20.100000000000001" customHeight="1" x14ac:dyDescent="0.3">
      <c r="A194" s="15">
        <v>5</v>
      </c>
      <c r="B194" s="24" t="s">
        <v>137</v>
      </c>
      <c r="C194" s="17">
        <v>908.61</v>
      </c>
      <c r="D194" s="17">
        <v>150</v>
      </c>
      <c r="E194" s="19" t="e">
        <f>C194+D194+#REF!+#REF!</f>
        <v>#REF!</v>
      </c>
      <c r="F194" s="17">
        <v>0</v>
      </c>
      <c r="G194" s="28">
        <v>0</v>
      </c>
      <c r="H194" s="19" t="e">
        <f>F194+G194+#REF!</f>
        <v>#REF!</v>
      </c>
      <c r="I194" s="17">
        <v>37.01</v>
      </c>
      <c r="J194" s="17">
        <v>21.29</v>
      </c>
      <c r="K194" s="19">
        <f t="shared" si="838"/>
        <v>58.3</v>
      </c>
      <c r="L194" s="28">
        <v>107.11</v>
      </c>
      <c r="M194" s="28">
        <v>13.94</v>
      </c>
      <c r="N194" s="19">
        <f t="shared" si="831"/>
        <v>121.05</v>
      </c>
      <c r="O194" s="19">
        <f t="shared" ref="O194:P196" si="861">C194+F194+I194+L194</f>
        <v>1052.73</v>
      </c>
      <c r="P194" s="20">
        <f t="shared" si="861"/>
        <v>185.23</v>
      </c>
      <c r="Q194" s="19">
        <f t="shared" si="817"/>
        <v>1237.96</v>
      </c>
      <c r="R194" s="17">
        <f t="shared" si="845"/>
        <v>227.15</v>
      </c>
      <c r="S194" s="17">
        <f t="shared" si="758"/>
        <v>22.5</v>
      </c>
      <c r="T194" s="17">
        <f t="shared" si="840"/>
        <v>0</v>
      </c>
      <c r="U194" s="17">
        <f t="shared" si="760"/>
        <v>0</v>
      </c>
      <c r="V194" s="17">
        <f t="shared" si="841"/>
        <v>9.25</v>
      </c>
      <c r="W194" s="17">
        <f t="shared" si="762"/>
        <v>3.19</v>
      </c>
      <c r="X194" s="17">
        <f t="shared" si="842"/>
        <v>26.78</v>
      </c>
      <c r="Y194" s="113">
        <f t="shared" si="764"/>
        <v>2.09</v>
      </c>
      <c r="Z194" s="127">
        <f t="shared" si="846"/>
        <v>161.37</v>
      </c>
      <c r="AA194" s="127">
        <f>ROUND(D194*6.06%,2)+0.02</f>
        <v>9.11</v>
      </c>
      <c r="AB194" s="127">
        <f t="shared" si="848"/>
        <v>0</v>
      </c>
      <c r="AC194" s="127">
        <f t="shared" si="849"/>
        <v>0</v>
      </c>
      <c r="AD194" s="127">
        <f t="shared" si="850"/>
        <v>5.92</v>
      </c>
      <c r="AE194" s="127">
        <f t="shared" si="851"/>
        <v>1.08</v>
      </c>
      <c r="AF194" s="127">
        <v>0</v>
      </c>
      <c r="AG194" s="127">
        <v>0</v>
      </c>
      <c r="AH194" s="127">
        <f t="shared" si="856"/>
        <v>65.78</v>
      </c>
      <c r="AI194" s="127">
        <f t="shared" si="852"/>
        <v>17.690000000000001</v>
      </c>
      <c r="AJ194" s="127">
        <f t="shared" si="853"/>
        <v>0</v>
      </c>
      <c r="AK194" s="127">
        <f t="shared" si="854"/>
        <v>0</v>
      </c>
      <c r="AL194" s="127">
        <f t="shared" si="786"/>
        <v>3.33</v>
      </c>
      <c r="AM194" s="127">
        <f t="shared" si="855"/>
        <v>2.77</v>
      </c>
      <c r="AN194" s="127">
        <f t="shared" si="787"/>
        <v>26.78</v>
      </c>
      <c r="AO194" s="127">
        <f>ROUND(M194*18%,2)-0.2</f>
        <v>2.3099999999999996</v>
      </c>
      <c r="AP194" s="127">
        <f t="shared" si="789"/>
        <v>227.15</v>
      </c>
      <c r="AQ194" s="127">
        <f t="shared" si="790"/>
        <v>42.23</v>
      </c>
      <c r="AR194" s="127">
        <f t="shared" si="791"/>
        <v>0</v>
      </c>
      <c r="AS194" s="127">
        <f t="shared" si="792"/>
        <v>0</v>
      </c>
      <c r="AT194" s="127">
        <f t="shared" si="793"/>
        <v>9.25</v>
      </c>
      <c r="AU194" s="127">
        <f t="shared" si="794"/>
        <v>5.99</v>
      </c>
      <c r="AV194" s="127">
        <f t="shared" si="795"/>
        <v>26.78</v>
      </c>
      <c r="AW194" s="127">
        <f t="shared" si="796"/>
        <v>3.92</v>
      </c>
      <c r="AX194" s="127"/>
      <c r="AY194" s="127"/>
      <c r="AZ194" s="127">
        <f t="shared" si="766"/>
        <v>681.45</v>
      </c>
      <c r="BA194" s="127">
        <f t="shared" si="832"/>
        <v>91.53</v>
      </c>
      <c r="BB194" s="127">
        <f t="shared" si="767"/>
        <v>0</v>
      </c>
      <c r="BC194" s="127">
        <f t="shared" si="767"/>
        <v>0</v>
      </c>
      <c r="BD194" s="127">
        <f t="shared" si="767"/>
        <v>27.75</v>
      </c>
      <c r="BE194" s="127">
        <f t="shared" si="742"/>
        <v>13.03</v>
      </c>
      <c r="BF194" s="127">
        <f t="shared" si="742"/>
        <v>80.34</v>
      </c>
      <c r="BG194" s="127">
        <f t="shared" si="742"/>
        <v>8.32</v>
      </c>
      <c r="BH194" s="2"/>
      <c r="BI194" s="2"/>
      <c r="BJ194" s="2"/>
      <c r="BK194" s="2"/>
    </row>
    <row r="195" spans="1:68" ht="20.100000000000001" customHeight="1" x14ac:dyDescent="0.3">
      <c r="A195" s="15">
        <v>6</v>
      </c>
      <c r="B195" s="24" t="s">
        <v>138</v>
      </c>
      <c r="C195" s="17">
        <v>720.7</v>
      </c>
      <c r="D195" s="17">
        <v>225</v>
      </c>
      <c r="E195" s="19" t="e">
        <f>C195+D195+#REF!+#REF!</f>
        <v>#REF!</v>
      </c>
      <c r="F195" s="17">
        <v>0</v>
      </c>
      <c r="G195" s="28">
        <v>0</v>
      </c>
      <c r="H195" s="19" t="e">
        <f>F195+G195+#REF!</f>
        <v>#REF!</v>
      </c>
      <c r="I195" s="17">
        <v>0</v>
      </c>
      <c r="J195" s="17">
        <v>0</v>
      </c>
      <c r="K195" s="19">
        <f t="shared" si="838"/>
        <v>0</v>
      </c>
      <c r="L195" s="28">
        <v>101.81</v>
      </c>
      <c r="M195" s="28">
        <v>17.36</v>
      </c>
      <c r="N195" s="19">
        <f t="shared" si="831"/>
        <v>119.17</v>
      </c>
      <c r="O195" s="19">
        <f t="shared" si="861"/>
        <v>822.51</v>
      </c>
      <c r="P195" s="20">
        <f t="shared" si="861"/>
        <v>242.36</v>
      </c>
      <c r="Q195" s="19">
        <f t="shared" si="817"/>
        <v>1064.8699999999999</v>
      </c>
      <c r="R195" s="17">
        <f t="shared" si="845"/>
        <v>180.18</v>
      </c>
      <c r="S195" s="17">
        <f t="shared" ref="S195:S257" si="862">ROUND(D195*0.15,2)</f>
        <v>33.75</v>
      </c>
      <c r="T195" s="17">
        <f t="shared" si="840"/>
        <v>0</v>
      </c>
      <c r="U195" s="17">
        <f t="shared" ref="U195:U257" si="863">ROUND(G195*0.15,2)</f>
        <v>0</v>
      </c>
      <c r="V195" s="17">
        <f t="shared" si="841"/>
        <v>0</v>
      </c>
      <c r="W195" s="17">
        <f t="shared" ref="W195:W257" si="864">ROUND(J195*0.15,2)</f>
        <v>0</v>
      </c>
      <c r="X195" s="17">
        <f t="shared" si="842"/>
        <v>25.45</v>
      </c>
      <c r="Y195" s="113">
        <f t="shared" ref="Y195:Y257" si="865">ROUND(M195*0.15,2)</f>
        <v>2.6</v>
      </c>
      <c r="Z195" s="127">
        <f t="shared" si="846"/>
        <v>128</v>
      </c>
      <c r="AA195" s="127">
        <f t="shared" si="847"/>
        <v>13.64</v>
      </c>
      <c r="AB195" s="127">
        <f t="shared" si="848"/>
        <v>0</v>
      </c>
      <c r="AC195" s="127">
        <f t="shared" si="849"/>
        <v>0</v>
      </c>
      <c r="AD195" s="127">
        <f t="shared" si="850"/>
        <v>0</v>
      </c>
      <c r="AE195" s="127">
        <f t="shared" si="851"/>
        <v>0</v>
      </c>
      <c r="AF195" s="127">
        <v>0</v>
      </c>
      <c r="AG195" s="127">
        <v>0</v>
      </c>
      <c r="AH195" s="127">
        <f>ROUND(C195*7.24%,2)+0.02</f>
        <v>52.2</v>
      </c>
      <c r="AI195" s="127">
        <f t="shared" si="852"/>
        <v>26.53</v>
      </c>
      <c r="AJ195" s="127">
        <f t="shared" si="853"/>
        <v>0</v>
      </c>
      <c r="AK195" s="127">
        <f t="shared" si="854"/>
        <v>0</v>
      </c>
      <c r="AL195" s="127">
        <f t="shared" si="786"/>
        <v>0</v>
      </c>
      <c r="AM195" s="127">
        <f t="shared" si="855"/>
        <v>0</v>
      </c>
      <c r="AN195" s="127">
        <f t="shared" si="787"/>
        <v>25.45</v>
      </c>
      <c r="AO195" s="127">
        <f t="shared" si="788"/>
        <v>3.12</v>
      </c>
      <c r="AP195" s="127">
        <f t="shared" si="789"/>
        <v>180.18</v>
      </c>
      <c r="AQ195" s="127">
        <f t="shared" si="790"/>
        <v>63.34</v>
      </c>
      <c r="AR195" s="127">
        <f t="shared" si="791"/>
        <v>0</v>
      </c>
      <c r="AS195" s="127">
        <f t="shared" si="792"/>
        <v>0</v>
      </c>
      <c r="AT195" s="127">
        <f t="shared" si="793"/>
        <v>0</v>
      </c>
      <c r="AU195" s="127">
        <f t="shared" si="794"/>
        <v>0</v>
      </c>
      <c r="AV195" s="127">
        <f t="shared" si="795"/>
        <v>25.45</v>
      </c>
      <c r="AW195" s="127">
        <f t="shared" si="796"/>
        <v>4.8899999999999997</v>
      </c>
      <c r="AX195" s="127"/>
      <c r="AY195" s="127"/>
      <c r="AZ195" s="127">
        <f t="shared" si="766"/>
        <v>540.55999999999995</v>
      </c>
      <c r="BA195" s="127">
        <f t="shared" si="832"/>
        <v>137.26</v>
      </c>
      <c r="BB195" s="127">
        <f t="shared" si="767"/>
        <v>0</v>
      </c>
      <c r="BC195" s="127">
        <f t="shared" si="767"/>
        <v>0</v>
      </c>
      <c r="BD195" s="127">
        <f t="shared" si="767"/>
        <v>0</v>
      </c>
      <c r="BE195" s="127">
        <f t="shared" ref="BE195:BG257" si="866">+AU195+AM195+AE195+W195</f>
        <v>0</v>
      </c>
      <c r="BF195" s="127">
        <f t="shared" si="866"/>
        <v>76.349999999999994</v>
      </c>
      <c r="BG195" s="127">
        <f t="shared" si="866"/>
        <v>10.61</v>
      </c>
      <c r="BH195" s="2"/>
      <c r="BI195" s="2"/>
      <c r="BJ195" s="2"/>
      <c r="BK195" s="2"/>
    </row>
    <row r="196" spans="1:68" ht="20.100000000000001" customHeight="1" x14ac:dyDescent="0.3">
      <c r="A196" s="15">
        <v>7</v>
      </c>
      <c r="B196" s="24" t="s">
        <v>139</v>
      </c>
      <c r="C196" s="17">
        <v>62.91</v>
      </c>
      <c r="D196" s="17">
        <v>20</v>
      </c>
      <c r="E196" s="19" t="e">
        <f>C196+D196+#REF!+#REF!</f>
        <v>#REF!</v>
      </c>
      <c r="F196" s="17">
        <v>0</v>
      </c>
      <c r="G196" s="28">
        <v>0</v>
      </c>
      <c r="H196" s="19" t="e">
        <f>F196+G196+#REF!</f>
        <v>#REF!</v>
      </c>
      <c r="I196" s="17">
        <v>0</v>
      </c>
      <c r="J196" s="17">
        <v>0</v>
      </c>
      <c r="K196" s="19">
        <f t="shared" si="838"/>
        <v>0</v>
      </c>
      <c r="L196" s="28">
        <v>7.49</v>
      </c>
      <c r="M196" s="28">
        <v>5</v>
      </c>
      <c r="N196" s="19">
        <f t="shared" si="831"/>
        <v>12.49</v>
      </c>
      <c r="O196" s="19">
        <f t="shared" si="861"/>
        <v>70.399999999999991</v>
      </c>
      <c r="P196" s="20">
        <f t="shared" si="861"/>
        <v>25</v>
      </c>
      <c r="Q196" s="19">
        <f t="shared" si="817"/>
        <v>95.399999999999991</v>
      </c>
      <c r="R196" s="75">
        <f>ROUND(C196*0.25,2)-0.01</f>
        <v>15.72</v>
      </c>
      <c r="S196" s="17">
        <f t="shared" si="862"/>
        <v>3</v>
      </c>
      <c r="T196" s="17">
        <f t="shared" si="840"/>
        <v>0</v>
      </c>
      <c r="U196" s="17">
        <f t="shared" si="863"/>
        <v>0</v>
      </c>
      <c r="V196" s="17">
        <f t="shared" si="841"/>
        <v>0</v>
      </c>
      <c r="W196" s="17">
        <f t="shared" si="864"/>
        <v>0</v>
      </c>
      <c r="X196" s="17">
        <f t="shared" si="842"/>
        <v>1.87</v>
      </c>
      <c r="Y196" s="113">
        <f t="shared" si="865"/>
        <v>0.75</v>
      </c>
      <c r="Z196" s="127">
        <f t="shared" si="846"/>
        <v>11.17</v>
      </c>
      <c r="AA196" s="127">
        <f t="shared" si="847"/>
        <v>1.21</v>
      </c>
      <c r="AB196" s="127">
        <f t="shared" si="848"/>
        <v>0</v>
      </c>
      <c r="AC196" s="127">
        <f t="shared" si="849"/>
        <v>0</v>
      </c>
      <c r="AD196" s="127">
        <f t="shared" si="850"/>
        <v>0</v>
      </c>
      <c r="AE196" s="127">
        <f t="shared" si="851"/>
        <v>0</v>
      </c>
      <c r="AF196" s="127">
        <v>0</v>
      </c>
      <c r="AG196" s="127">
        <v>0</v>
      </c>
      <c r="AH196" s="127">
        <f>ROUND(C196*7.24%,2)</f>
        <v>4.55</v>
      </c>
      <c r="AI196" s="127">
        <f t="shared" si="852"/>
        <v>2.36</v>
      </c>
      <c r="AJ196" s="127">
        <f t="shared" si="853"/>
        <v>0</v>
      </c>
      <c r="AK196" s="127">
        <f t="shared" si="854"/>
        <v>0</v>
      </c>
      <c r="AL196" s="127">
        <f t="shared" si="786"/>
        <v>0</v>
      </c>
      <c r="AM196" s="127">
        <f t="shared" si="855"/>
        <v>0</v>
      </c>
      <c r="AN196" s="127">
        <f t="shared" si="787"/>
        <v>1.87</v>
      </c>
      <c r="AO196" s="127">
        <f t="shared" si="788"/>
        <v>0.9</v>
      </c>
      <c r="AP196" s="127">
        <f t="shared" si="789"/>
        <v>15.73</v>
      </c>
      <c r="AQ196" s="127">
        <f t="shared" si="790"/>
        <v>5.63</v>
      </c>
      <c r="AR196" s="127">
        <f t="shared" si="791"/>
        <v>0</v>
      </c>
      <c r="AS196" s="127">
        <f t="shared" si="792"/>
        <v>0</v>
      </c>
      <c r="AT196" s="127">
        <f t="shared" si="793"/>
        <v>0</v>
      </c>
      <c r="AU196" s="127">
        <f t="shared" si="794"/>
        <v>0</v>
      </c>
      <c r="AV196" s="127">
        <f t="shared" si="795"/>
        <v>1.87</v>
      </c>
      <c r="AW196" s="127">
        <f t="shared" si="796"/>
        <v>1.41</v>
      </c>
      <c r="AX196" s="127"/>
      <c r="AY196" s="127"/>
      <c r="AZ196" s="127">
        <f t="shared" si="766"/>
        <v>47.17</v>
      </c>
      <c r="BA196" s="127">
        <f t="shared" si="832"/>
        <v>12.2</v>
      </c>
      <c r="BB196" s="127">
        <f t="shared" si="767"/>
        <v>0</v>
      </c>
      <c r="BC196" s="127">
        <f t="shared" si="767"/>
        <v>0</v>
      </c>
      <c r="BD196" s="127">
        <f t="shared" si="767"/>
        <v>0</v>
      </c>
      <c r="BE196" s="127">
        <f t="shared" si="866"/>
        <v>0</v>
      </c>
      <c r="BF196" s="127">
        <f t="shared" si="866"/>
        <v>5.61</v>
      </c>
      <c r="BG196" s="127">
        <f t="shared" si="866"/>
        <v>3.06</v>
      </c>
      <c r="BH196" s="2"/>
      <c r="BI196" s="2"/>
      <c r="BJ196" s="2"/>
      <c r="BK196" s="2"/>
    </row>
    <row r="197" spans="1:68" s="6" customFormat="1" ht="20.100000000000001" customHeight="1" x14ac:dyDescent="0.3">
      <c r="A197" s="76"/>
      <c r="B197" s="85" t="s">
        <v>138</v>
      </c>
      <c r="C197" s="78">
        <f>+C195+C196</f>
        <v>783.61</v>
      </c>
      <c r="D197" s="78">
        <f t="shared" ref="D197:BG197" si="867">+D195+D196</f>
        <v>245</v>
      </c>
      <c r="E197" s="78" t="e">
        <f t="shared" si="867"/>
        <v>#REF!</v>
      </c>
      <c r="F197" s="78">
        <f t="shared" si="867"/>
        <v>0</v>
      </c>
      <c r="G197" s="78">
        <f t="shared" si="867"/>
        <v>0</v>
      </c>
      <c r="H197" s="78" t="e">
        <f t="shared" si="867"/>
        <v>#REF!</v>
      </c>
      <c r="I197" s="78">
        <f t="shared" si="867"/>
        <v>0</v>
      </c>
      <c r="J197" s="78">
        <f t="shared" si="867"/>
        <v>0</v>
      </c>
      <c r="K197" s="78">
        <f t="shared" si="867"/>
        <v>0</v>
      </c>
      <c r="L197" s="78">
        <f t="shared" si="867"/>
        <v>109.3</v>
      </c>
      <c r="M197" s="78">
        <f t="shared" si="867"/>
        <v>22.36</v>
      </c>
      <c r="N197" s="78">
        <f t="shared" si="867"/>
        <v>131.66</v>
      </c>
      <c r="O197" s="78">
        <f t="shared" si="867"/>
        <v>892.91</v>
      </c>
      <c r="P197" s="78">
        <f t="shared" si="867"/>
        <v>267.36</v>
      </c>
      <c r="Q197" s="78">
        <f t="shared" si="867"/>
        <v>1160.27</v>
      </c>
      <c r="R197" s="78">
        <f t="shared" si="867"/>
        <v>195.9</v>
      </c>
      <c r="S197" s="78">
        <f t="shared" si="867"/>
        <v>36.75</v>
      </c>
      <c r="T197" s="78">
        <f t="shared" si="867"/>
        <v>0</v>
      </c>
      <c r="U197" s="78">
        <f t="shared" si="867"/>
        <v>0</v>
      </c>
      <c r="V197" s="78">
        <f t="shared" si="867"/>
        <v>0</v>
      </c>
      <c r="W197" s="78">
        <f t="shared" si="867"/>
        <v>0</v>
      </c>
      <c r="X197" s="78">
        <f t="shared" si="867"/>
        <v>27.32</v>
      </c>
      <c r="Y197" s="114">
        <f t="shared" si="867"/>
        <v>3.35</v>
      </c>
      <c r="Z197" s="78">
        <f t="shared" si="867"/>
        <v>139.16999999999999</v>
      </c>
      <c r="AA197" s="78">
        <f t="shared" si="867"/>
        <v>14.850000000000001</v>
      </c>
      <c r="AB197" s="78">
        <f t="shared" si="867"/>
        <v>0</v>
      </c>
      <c r="AC197" s="78">
        <f t="shared" si="867"/>
        <v>0</v>
      </c>
      <c r="AD197" s="78">
        <f t="shared" si="867"/>
        <v>0</v>
      </c>
      <c r="AE197" s="78">
        <f t="shared" si="867"/>
        <v>0</v>
      </c>
      <c r="AF197" s="78">
        <f t="shared" si="867"/>
        <v>0</v>
      </c>
      <c r="AG197" s="78">
        <f t="shared" si="867"/>
        <v>0</v>
      </c>
      <c r="AH197" s="78">
        <f t="shared" si="867"/>
        <v>56.75</v>
      </c>
      <c r="AI197" s="78">
        <f t="shared" si="867"/>
        <v>28.89</v>
      </c>
      <c r="AJ197" s="78">
        <f t="shared" si="867"/>
        <v>0</v>
      </c>
      <c r="AK197" s="78">
        <f t="shared" si="867"/>
        <v>0</v>
      </c>
      <c r="AL197" s="78">
        <f t="shared" si="867"/>
        <v>0</v>
      </c>
      <c r="AM197" s="78">
        <f t="shared" si="867"/>
        <v>0</v>
      </c>
      <c r="AN197" s="78">
        <f t="shared" si="867"/>
        <v>27.32</v>
      </c>
      <c r="AO197" s="78">
        <f t="shared" si="867"/>
        <v>4.0200000000000005</v>
      </c>
      <c r="AP197" s="78">
        <f t="shared" si="867"/>
        <v>195.91</v>
      </c>
      <c r="AQ197" s="78">
        <f t="shared" si="867"/>
        <v>68.97</v>
      </c>
      <c r="AR197" s="78">
        <f t="shared" si="867"/>
        <v>0</v>
      </c>
      <c r="AS197" s="78">
        <f t="shared" si="867"/>
        <v>0</v>
      </c>
      <c r="AT197" s="78">
        <f t="shared" si="867"/>
        <v>0</v>
      </c>
      <c r="AU197" s="78">
        <f t="shared" si="867"/>
        <v>0</v>
      </c>
      <c r="AV197" s="78">
        <f t="shared" si="867"/>
        <v>27.32</v>
      </c>
      <c r="AW197" s="78">
        <f t="shared" si="867"/>
        <v>6.3</v>
      </c>
      <c r="AX197" s="78">
        <f t="shared" si="867"/>
        <v>0</v>
      </c>
      <c r="AY197" s="78">
        <f t="shared" si="867"/>
        <v>0</v>
      </c>
      <c r="AZ197" s="78">
        <f t="shared" si="867"/>
        <v>587.7299999999999</v>
      </c>
      <c r="BA197" s="78">
        <f t="shared" si="867"/>
        <v>149.45999999999998</v>
      </c>
      <c r="BB197" s="78">
        <f t="shared" si="867"/>
        <v>0</v>
      </c>
      <c r="BC197" s="78">
        <f t="shared" si="867"/>
        <v>0</v>
      </c>
      <c r="BD197" s="78">
        <f t="shared" si="867"/>
        <v>0</v>
      </c>
      <c r="BE197" s="78">
        <f t="shared" si="867"/>
        <v>0</v>
      </c>
      <c r="BF197" s="78">
        <f t="shared" si="867"/>
        <v>81.96</v>
      </c>
      <c r="BG197" s="78">
        <f t="shared" si="867"/>
        <v>13.67</v>
      </c>
      <c r="BH197" s="78"/>
      <c r="BI197" s="78"/>
      <c r="BJ197" s="78"/>
      <c r="BK197" s="78"/>
    </row>
    <row r="198" spans="1:68" ht="20.100000000000001" customHeight="1" x14ac:dyDescent="0.3">
      <c r="A198" s="23">
        <v>8</v>
      </c>
      <c r="B198" s="24" t="s">
        <v>140</v>
      </c>
      <c r="C198" s="17">
        <v>0</v>
      </c>
      <c r="D198" s="17">
        <v>0</v>
      </c>
      <c r="E198" s="19" t="e">
        <f>C198+D198+#REF!+#REF!</f>
        <v>#REF!</v>
      </c>
      <c r="F198" s="17">
        <v>3087.67</v>
      </c>
      <c r="G198" s="28">
        <v>1097.24</v>
      </c>
      <c r="H198" s="19" t="e">
        <f>F198+G198+#REF!</f>
        <v>#REF!</v>
      </c>
      <c r="I198" s="17">
        <v>513.66999999999996</v>
      </c>
      <c r="J198" s="17">
        <v>49.19</v>
      </c>
      <c r="K198" s="19">
        <f t="shared" si="838"/>
        <v>562.8599999999999</v>
      </c>
      <c r="L198" s="28">
        <v>0</v>
      </c>
      <c r="M198" s="28">
        <v>0</v>
      </c>
      <c r="N198" s="19">
        <f t="shared" si="831"/>
        <v>0</v>
      </c>
      <c r="O198" s="19">
        <f t="shared" ref="O198:O206" si="868">C198+F198+I198+L198</f>
        <v>3601.34</v>
      </c>
      <c r="P198" s="20">
        <f t="shared" ref="P198:P206" si="869">D198+G198+J198+M198</f>
        <v>1146.43</v>
      </c>
      <c r="Q198" s="19">
        <f t="shared" si="817"/>
        <v>4747.7700000000004</v>
      </c>
      <c r="R198" s="17">
        <f t="shared" si="845"/>
        <v>0</v>
      </c>
      <c r="S198" s="17">
        <f t="shared" si="862"/>
        <v>0</v>
      </c>
      <c r="T198" s="17">
        <f t="shared" si="840"/>
        <v>771.92</v>
      </c>
      <c r="U198" s="17">
        <f t="shared" si="863"/>
        <v>164.59</v>
      </c>
      <c r="V198" s="17">
        <f>ROUND(I198*0.25,2)</f>
        <v>128.41999999999999</v>
      </c>
      <c r="W198" s="17">
        <f t="shared" si="864"/>
        <v>7.38</v>
      </c>
      <c r="X198" s="17">
        <f t="shared" si="842"/>
        <v>0</v>
      </c>
      <c r="Y198" s="113">
        <f t="shared" si="865"/>
        <v>0</v>
      </c>
      <c r="Z198" s="127">
        <f t="shared" si="846"/>
        <v>0</v>
      </c>
      <c r="AA198" s="127">
        <f t="shared" si="847"/>
        <v>0</v>
      </c>
      <c r="AB198" s="127">
        <f t="shared" si="848"/>
        <v>494.03</v>
      </c>
      <c r="AC198" s="127">
        <f t="shared" si="849"/>
        <v>55.74</v>
      </c>
      <c r="AD198" s="127">
        <f t="shared" si="850"/>
        <v>82.19</v>
      </c>
      <c r="AE198" s="127">
        <f t="shared" si="851"/>
        <v>2.5</v>
      </c>
      <c r="AF198" s="127">
        <v>0</v>
      </c>
      <c r="AG198" s="127">
        <v>0</v>
      </c>
      <c r="AH198" s="127">
        <f t="shared" si="856"/>
        <v>0</v>
      </c>
      <c r="AI198" s="127">
        <f t="shared" si="852"/>
        <v>0</v>
      </c>
      <c r="AJ198" s="127">
        <f t="shared" si="853"/>
        <v>277.89</v>
      </c>
      <c r="AK198" s="127">
        <f>ROUND(G198*12.77%,2)-0.02</f>
        <v>140.1</v>
      </c>
      <c r="AL198" s="127">
        <f t="shared" si="786"/>
        <v>46.23</v>
      </c>
      <c r="AM198" s="127">
        <f>ROUND(J198*13%,2)-0.19</f>
        <v>6.1999999999999993</v>
      </c>
      <c r="AN198" s="127">
        <f t="shared" si="787"/>
        <v>0</v>
      </c>
      <c r="AO198" s="127">
        <f t="shared" si="788"/>
        <v>0</v>
      </c>
      <c r="AP198" s="127">
        <f t="shared" si="789"/>
        <v>0</v>
      </c>
      <c r="AQ198" s="127">
        <f t="shared" si="790"/>
        <v>0</v>
      </c>
      <c r="AR198" s="127">
        <f t="shared" si="791"/>
        <v>771.92</v>
      </c>
      <c r="AS198" s="127">
        <f t="shared" si="792"/>
        <v>308.87</v>
      </c>
      <c r="AT198" s="127">
        <f t="shared" si="793"/>
        <v>128.41999999999999</v>
      </c>
      <c r="AU198" s="127">
        <f t="shared" si="794"/>
        <v>13.85</v>
      </c>
      <c r="AV198" s="127">
        <f t="shared" si="795"/>
        <v>0</v>
      </c>
      <c r="AW198" s="127">
        <f t="shared" si="796"/>
        <v>0</v>
      </c>
      <c r="AX198" s="127"/>
      <c r="AY198" s="127"/>
      <c r="AZ198" s="127">
        <f t="shared" si="766"/>
        <v>0</v>
      </c>
      <c r="BA198" s="127">
        <f t="shared" si="832"/>
        <v>0</v>
      </c>
      <c r="BB198" s="127">
        <f t="shared" si="767"/>
        <v>2315.7599999999998</v>
      </c>
      <c r="BC198" s="127">
        <f t="shared" si="767"/>
        <v>669.30000000000007</v>
      </c>
      <c r="BD198" s="127">
        <f t="shared" si="767"/>
        <v>385.26</v>
      </c>
      <c r="BE198" s="127">
        <f t="shared" si="866"/>
        <v>29.929999999999996</v>
      </c>
      <c r="BF198" s="127">
        <f t="shared" si="866"/>
        <v>0</v>
      </c>
      <c r="BG198" s="127">
        <f t="shared" si="866"/>
        <v>0</v>
      </c>
      <c r="BH198" s="2"/>
      <c r="BI198" s="2"/>
      <c r="BJ198" s="2"/>
      <c r="BK198" s="2"/>
    </row>
    <row r="199" spans="1:68" ht="20.100000000000001" customHeight="1" x14ac:dyDescent="0.3">
      <c r="A199" s="15">
        <v>9</v>
      </c>
      <c r="B199" s="24" t="s">
        <v>141</v>
      </c>
      <c r="C199" s="17">
        <v>790.12</v>
      </c>
      <c r="D199" s="17">
        <v>39.630000000000003</v>
      </c>
      <c r="E199" s="19" t="e">
        <f>C199+D199+#REF!+#REF!</f>
        <v>#REF!</v>
      </c>
      <c r="F199" s="17">
        <v>0</v>
      </c>
      <c r="G199" s="28">
        <v>0</v>
      </c>
      <c r="H199" s="19" t="e">
        <f>F199+G199+#REF!</f>
        <v>#REF!</v>
      </c>
      <c r="I199" s="17">
        <v>0</v>
      </c>
      <c r="J199" s="17">
        <v>0</v>
      </c>
      <c r="K199" s="19">
        <f t="shared" si="838"/>
        <v>0</v>
      </c>
      <c r="L199" s="28">
        <v>82.64</v>
      </c>
      <c r="M199" s="28">
        <v>15.34</v>
      </c>
      <c r="N199" s="19">
        <f t="shared" si="831"/>
        <v>97.98</v>
      </c>
      <c r="O199" s="19">
        <f t="shared" si="868"/>
        <v>872.76</v>
      </c>
      <c r="P199" s="20">
        <f t="shared" si="869"/>
        <v>54.97</v>
      </c>
      <c r="Q199" s="19">
        <f t="shared" si="817"/>
        <v>927.73</v>
      </c>
      <c r="R199" s="17">
        <f t="shared" si="845"/>
        <v>197.53</v>
      </c>
      <c r="S199" s="17">
        <f t="shared" si="862"/>
        <v>5.94</v>
      </c>
      <c r="T199" s="17">
        <f t="shared" si="840"/>
        <v>0</v>
      </c>
      <c r="U199" s="17">
        <f t="shared" si="863"/>
        <v>0</v>
      </c>
      <c r="V199" s="17">
        <f t="shared" si="841"/>
        <v>0</v>
      </c>
      <c r="W199" s="17">
        <f t="shared" si="864"/>
        <v>0</v>
      </c>
      <c r="X199" s="17">
        <f t="shared" si="842"/>
        <v>20.66</v>
      </c>
      <c r="Y199" s="113">
        <f t="shared" si="865"/>
        <v>2.2999999999999998</v>
      </c>
      <c r="Z199" s="127">
        <f t="shared" si="846"/>
        <v>140.33000000000001</v>
      </c>
      <c r="AA199" s="127">
        <f t="shared" si="847"/>
        <v>2.4</v>
      </c>
      <c r="AB199" s="127">
        <f t="shared" si="848"/>
        <v>0</v>
      </c>
      <c r="AC199" s="127">
        <f t="shared" si="849"/>
        <v>0</v>
      </c>
      <c r="AD199" s="127">
        <f t="shared" si="850"/>
        <v>0</v>
      </c>
      <c r="AE199" s="127">
        <f t="shared" si="851"/>
        <v>0</v>
      </c>
      <c r="AF199" s="127">
        <v>0</v>
      </c>
      <c r="AG199" s="127">
        <v>0</v>
      </c>
      <c r="AH199" s="127">
        <f t="shared" si="856"/>
        <v>57.2</v>
      </c>
      <c r="AI199" s="127">
        <f t="shared" si="852"/>
        <v>4.67</v>
      </c>
      <c r="AJ199" s="127">
        <f t="shared" si="853"/>
        <v>0</v>
      </c>
      <c r="AK199" s="127">
        <f t="shared" si="854"/>
        <v>0</v>
      </c>
      <c r="AL199" s="127">
        <f t="shared" si="786"/>
        <v>0</v>
      </c>
      <c r="AM199" s="127">
        <f t="shared" si="855"/>
        <v>0</v>
      </c>
      <c r="AN199" s="127">
        <f t="shared" si="787"/>
        <v>20.66</v>
      </c>
      <c r="AO199" s="127">
        <f>ROUND(M199*18%,2)-0.04</f>
        <v>2.7199999999999998</v>
      </c>
      <c r="AP199" s="127">
        <f t="shared" si="789"/>
        <v>197.53</v>
      </c>
      <c r="AQ199" s="127">
        <f t="shared" si="790"/>
        <v>11.16</v>
      </c>
      <c r="AR199" s="127">
        <f t="shared" si="791"/>
        <v>0</v>
      </c>
      <c r="AS199" s="127">
        <f t="shared" si="792"/>
        <v>0</v>
      </c>
      <c r="AT199" s="127">
        <f t="shared" si="793"/>
        <v>0</v>
      </c>
      <c r="AU199" s="127">
        <f t="shared" si="794"/>
        <v>0</v>
      </c>
      <c r="AV199" s="127">
        <f t="shared" si="795"/>
        <v>20.66</v>
      </c>
      <c r="AW199" s="127">
        <f t="shared" si="796"/>
        <v>4.32</v>
      </c>
      <c r="AX199" s="127"/>
      <c r="AY199" s="127"/>
      <c r="AZ199" s="127">
        <f t="shared" si="766"/>
        <v>592.59</v>
      </c>
      <c r="BA199" s="127">
        <f t="shared" si="832"/>
        <v>24.17</v>
      </c>
      <c r="BB199" s="127">
        <f t="shared" si="767"/>
        <v>0</v>
      </c>
      <c r="BC199" s="127">
        <f t="shared" si="767"/>
        <v>0</v>
      </c>
      <c r="BD199" s="127">
        <f t="shared" si="767"/>
        <v>0</v>
      </c>
      <c r="BE199" s="127">
        <f t="shared" si="866"/>
        <v>0</v>
      </c>
      <c r="BF199" s="127">
        <f t="shared" si="866"/>
        <v>61.980000000000004</v>
      </c>
      <c r="BG199" s="127">
        <f t="shared" si="866"/>
        <v>9.34</v>
      </c>
      <c r="BH199" s="2"/>
      <c r="BI199" s="2"/>
      <c r="BJ199" s="2"/>
      <c r="BK199" s="2"/>
    </row>
    <row r="200" spans="1:68" ht="20.100000000000001" customHeight="1" x14ac:dyDescent="0.3">
      <c r="A200" s="15">
        <v>10</v>
      </c>
      <c r="B200" s="24" t="s">
        <v>142</v>
      </c>
      <c r="C200" s="17">
        <v>652.36</v>
      </c>
      <c r="D200" s="17">
        <v>156.77000000000001</v>
      </c>
      <c r="E200" s="19" t="e">
        <f>C200+D200+#REF!+#REF!</f>
        <v>#REF!</v>
      </c>
      <c r="F200" s="17">
        <v>0</v>
      </c>
      <c r="G200" s="28">
        <v>0</v>
      </c>
      <c r="H200" s="19" t="e">
        <f>F200+G200+#REF!</f>
        <v>#REF!</v>
      </c>
      <c r="I200" s="17">
        <v>35.799999999999997</v>
      </c>
      <c r="J200" s="17">
        <v>23.87</v>
      </c>
      <c r="K200" s="19">
        <f t="shared" si="838"/>
        <v>59.67</v>
      </c>
      <c r="L200" s="28">
        <v>0</v>
      </c>
      <c r="M200" s="28">
        <v>0</v>
      </c>
      <c r="N200" s="19">
        <f t="shared" si="831"/>
        <v>0</v>
      </c>
      <c r="O200" s="19">
        <f t="shared" si="868"/>
        <v>688.16</v>
      </c>
      <c r="P200" s="20">
        <f t="shared" si="869"/>
        <v>180.64000000000001</v>
      </c>
      <c r="Q200" s="19">
        <f t="shared" si="817"/>
        <v>868.8</v>
      </c>
      <c r="R200" s="17">
        <f t="shared" si="845"/>
        <v>163.09</v>
      </c>
      <c r="S200" s="17">
        <f t="shared" si="862"/>
        <v>23.52</v>
      </c>
      <c r="T200" s="17">
        <f t="shared" si="840"/>
        <v>0</v>
      </c>
      <c r="U200" s="17">
        <f t="shared" si="863"/>
        <v>0</v>
      </c>
      <c r="V200" s="17">
        <f t="shared" si="841"/>
        <v>8.9499999999999993</v>
      </c>
      <c r="W200" s="17">
        <f t="shared" si="864"/>
        <v>3.58</v>
      </c>
      <c r="X200" s="17">
        <f t="shared" si="842"/>
        <v>0</v>
      </c>
      <c r="Y200" s="113">
        <f t="shared" si="865"/>
        <v>0</v>
      </c>
      <c r="Z200" s="127">
        <f t="shared" si="846"/>
        <v>115.86</v>
      </c>
      <c r="AA200" s="127">
        <f t="shared" si="847"/>
        <v>9.5</v>
      </c>
      <c r="AB200" s="127">
        <f t="shared" si="848"/>
        <v>0</v>
      </c>
      <c r="AC200" s="127">
        <f t="shared" si="849"/>
        <v>0</v>
      </c>
      <c r="AD200" s="127">
        <f t="shared" si="850"/>
        <v>5.73</v>
      </c>
      <c r="AE200" s="127">
        <f t="shared" si="851"/>
        <v>1.21</v>
      </c>
      <c r="AF200" s="127">
        <v>0</v>
      </c>
      <c r="AG200" s="127">
        <v>0</v>
      </c>
      <c r="AH200" s="127">
        <f>ROUND(C200*7.24%,2)+0.01</f>
        <v>47.239999999999995</v>
      </c>
      <c r="AI200" s="127">
        <f t="shared" si="852"/>
        <v>18.48</v>
      </c>
      <c r="AJ200" s="127">
        <f t="shared" si="853"/>
        <v>0</v>
      </c>
      <c r="AK200" s="127">
        <f t="shared" si="854"/>
        <v>0</v>
      </c>
      <c r="AL200" s="127">
        <f t="shared" si="786"/>
        <v>3.22</v>
      </c>
      <c r="AM200" s="127">
        <f t="shared" si="855"/>
        <v>3.1</v>
      </c>
      <c r="AN200" s="127">
        <f t="shared" si="787"/>
        <v>0</v>
      </c>
      <c r="AO200" s="127">
        <f t="shared" si="788"/>
        <v>0</v>
      </c>
      <c r="AP200" s="127">
        <f t="shared" si="789"/>
        <v>163.09</v>
      </c>
      <c r="AQ200" s="127">
        <f t="shared" si="790"/>
        <v>44.13</v>
      </c>
      <c r="AR200" s="127">
        <f t="shared" si="791"/>
        <v>0</v>
      </c>
      <c r="AS200" s="127">
        <f t="shared" si="792"/>
        <v>0</v>
      </c>
      <c r="AT200" s="127">
        <f t="shared" si="793"/>
        <v>8.9499999999999993</v>
      </c>
      <c r="AU200" s="127">
        <f t="shared" si="794"/>
        <v>6.72</v>
      </c>
      <c r="AV200" s="127">
        <f t="shared" si="795"/>
        <v>0</v>
      </c>
      <c r="AW200" s="127">
        <f t="shared" si="796"/>
        <v>0</v>
      </c>
      <c r="AX200" s="127"/>
      <c r="AY200" s="127"/>
      <c r="AZ200" s="127">
        <f t="shared" ref="AZ200:AZ263" si="870">+AP200+AH200+Z200+R200+AX200</f>
        <v>489.28</v>
      </c>
      <c r="BA200" s="127">
        <f t="shared" si="832"/>
        <v>95.63</v>
      </c>
      <c r="BB200" s="127">
        <f t="shared" si="767"/>
        <v>0</v>
      </c>
      <c r="BC200" s="127">
        <f t="shared" si="767"/>
        <v>0</v>
      </c>
      <c r="BD200" s="127">
        <f t="shared" ref="BD200:BG263" si="871">+AT200+AL200+AD200+V200</f>
        <v>26.849999999999998</v>
      </c>
      <c r="BE200" s="127">
        <f t="shared" si="866"/>
        <v>14.610000000000001</v>
      </c>
      <c r="BF200" s="127">
        <f t="shared" si="866"/>
        <v>0</v>
      </c>
      <c r="BG200" s="127">
        <f t="shared" si="866"/>
        <v>0</v>
      </c>
      <c r="BH200" s="2"/>
      <c r="BI200" s="2"/>
      <c r="BJ200" s="2"/>
      <c r="BK200" s="2"/>
    </row>
    <row r="201" spans="1:68" ht="20.100000000000001" customHeight="1" x14ac:dyDescent="0.3">
      <c r="A201" s="15">
        <v>11</v>
      </c>
      <c r="B201" s="24" t="s">
        <v>143</v>
      </c>
      <c r="C201" s="17">
        <v>391.42</v>
      </c>
      <c r="D201" s="17">
        <v>182.58</v>
      </c>
      <c r="E201" s="19" t="e">
        <f>C201+D201+#REF!+#REF!</f>
        <v>#REF!</v>
      </c>
      <c r="F201" s="17">
        <v>0</v>
      </c>
      <c r="G201" s="28">
        <v>0</v>
      </c>
      <c r="H201" s="19" t="e">
        <f>F201+G201+#REF!</f>
        <v>#REF!</v>
      </c>
      <c r="I201" s="17">
        <v>23.87</v>
      </c>
      <c r="J201" s="17">
        <v>0</v>
      </c>
      <c r="K201" s="19">
        <f t="shared" si="838"/>
        <v>23.87</v>
      </c>
      <c r="L201" s="28">
        <v>35.71</v>
      </c>
      <c r="M201" s="28">
        <v>6.97</v>
      </c>
      <c r="N201" s="19">
        <f t="shared" si="831"/>
        <v>42.68</v>
      </c>
      <c r="O201" s="19">
        <f t="shared" si="868"/>
        <v>451</v>
      </c>
      <c r="P201" s="20">
        <f t="shared" si="869"/>
        <v>189.55</v>
      </c>
      <c r="Q201" s="19">
        <f t="shared" si="817"/>
        <v>640.54999999999995</v>
      </c>
      <c r="R201" s="17">
        <f t="shared" si="845"/>
        <v>97.86</v>
      </c>
      <c r="S201" s="17">
        <f t="shared" si="862"/>
        <v>27.39</v>
      </c>
      <c r="T201" s="17">
        <f t="shared" si="840"/>
        <v>0</v>
      </c>
      <c r="U201" s="17">
        <f t="shared" si="863"/>
        <v>0</v>
      </c>
      <c r="V201" s="17">
        <f t="shared" si="841"/>
        <v>5.97</v>
      </c>
      <c r="W201" s="17">
        <f t="shared" si="864"/>
        <v>0</v>
      </c>
      <c r="X201" s="17">
        <f t="shared" si="842"/>
        <v>8.93</v>
      </c>
      <c r="Y201" s="113">
        <f t="shared" si="865"/>
        <v>1.05</v>
      </c>
      <c r="Z201" s="127">
        <f t="shared" si="846"/>
        <v>69.52</v>
      </c>
      <c r="AA201" s="127">
        <f t="shared" si="847"/>
        <v>11.06</v>
      </c>
      <c r="AB201" s="127">
        <f t="shared" si="848"/>
        <v>0</v>
      </c>
      <c r="AC201" s="127">
        <f t="shared" si="849"/>
        <v>0</v>
      </c>
      <c r="AD201" s="127">
        <f t="shared" si="850"/>
        <v>3.82</v>
      </c>
      <c r="AE201" s="127">
        <f t="shared" si="851"/>
        <v>0</v>
      </c>
      <c r="AF201" s="127">
        <v>0</v>
      </c>
      <c r="AG201" s="127">
        <v>0</v>
      </c>
      <c r="AH201" s="127">
        <f t="shared" si="856"/>
        <v>28.34</v>
      </c>
      <c r="AI201" s="127">
        <f>ROUND(D201*11.79%,2)-0.02</f>
        <v>21.51</v>
      </c>
      <c r="AJ201" s="127">
        <f t="shared" si="853"/>
        <v>0</v>
      </c>
      <c r="AK201" s="127">
        <f t="shared" si="854"/>
        <v>0</v>
      </c>
      <c r="AL201" s="127">
        <f t="shared" si="786"/>
        <v>2.15</v>
      </c>
      <c r="AM201" s="127">
        <f t="shared" si="855"/>
        <v>0</v>
      </c>
      <c r="AN201" s="127">
        <f t="shared" si="787"/>
        <v>8.93</v>
      </c>
      <c r="AO201" s="127">
        <f t="shared" si="788"/>
        <v>1.25</v>
      </c>
      <c r="AP201" s="127">
        <f t="shared" si="789"/>
        <v>97.86</v>
      </c>
      <c r="AQ201" s="127">
        <f t="shared" si="790"/>
        <v>51.4</v>
      </c>
      <c r="AR201" s="127">
        <f t="shared" si="791"/>
        <v>0</v>
      </c>
      <c r="AS201" s="127">
        <f t="shared" si="792"/>
        <v>0</v>
      </c>
      <c r="AT201" s="127">
        <f t="shared" si="793"/>
        <v>5.97</v>
      </c>
      <c r="AU201" s="127">
        <f t="shared" si="794"/>
        <v>0</v>
      </c>
      <c r="AV201" s="127">
        <f t="shared" si="795"/>
        <v>8.93</v>
      </c>
      <c r="AW201" s="127">
        <f t="shared" si="796"/>
        <v>1.96</v>
      </c>
      <c r="AX201" s="127"/>
      <c r="AY201" s="127"/>
      <c r="AZ201" s="127">
        <f t="shared" si="870"/>
        <v>293.58</v>
      </c>
      <c r="BA201" s="127">
        <f t="shared" si="832"/>
        <v>111.36</v>
      </c>
      <c r="BB201" s="127">
        <f t="shared" ref="BB201:BC263" si="872">+AR201+AJ201+AB201+T201</f>
        <v>0</v>
      </c>
      <c r="BC201" s="127">
        <f t="shared" si="872"/>
        <v>0</v>
      </c>
      <c r="BD201" s="127">
        <f t="shared" si="871"/>
        <v>17.91</v>
      </c>
      <c r="BE201" s="127">
        <f t="shared" si="866"/>
        <v>0</v>
      </c>
      <c r="BF201" s="127">
        <f t="shared" si="866"/>
        <v>26.79</v>
      </c>
      <c r="BG201" s="127">
        <f t="shared" si="866"/>
        <v>4.26</v>
      </c>
      <c r="BH201" s="2"/>
      <c r="BI201" s="2"/>
      <c r="BJ201" s="2"/>
      <c r="BK201" s="2"/>
    </row>
    <row r="202" spans="1:68" ht="20.100000000000001" customHeight="1" x14ac:dyDescent="0.3">
      <c r="A202" s="15">
        <v>12</v>
      </c>
      <c r="B202" s="24" t="s">
        <v>144</v>
      </c>
      <c r="C202" s="17">
        <v>247.98</v>
      </c>
      <c r="D202" s="17">
        <v>40</v>
      </c>
      <c r="E202" s="19" t="e">
        <f>C202+D202+#REF!+#REF!</f>
        <v>#REF!</v>
      </c>
      <c r="F202" s="17">
        <v>0</v>
      </c>
      <c r="G202" s="28">
        <v>0</v>
      </c>
      <c r="H202" s="19" t="e">
        <f>F202+G202+#REF!</f>
        <v>#REF!</v>
      </c>
      <c r="I202" s="17">
        <v>11.93</v>
      </c>
      <c r="J202" s="17">
        <v>0</v>
      </c>
      <c r="K202" s="19">
        <f t="shared" si="838"/>
        <v>11.93</v>
      </c>
      <c r="L202" s="28">
        <v>18.29</v>
      </c>
      <c r="M202" s="28">
        <v>1.33</v>
      </c>
      <c r="N202" s="19">
        <f t="shared" si="831"/>
        <v>19.619999999999997</v>
      </c>
      <c r="O202" s="19">
        <f t="shared" si="868"/>
        <v>278.2</v>
      </c>
      <c r="P202" s="20">
        <f t="shared" si="869"/>
        <v>41.33</v>
      </c>
      <c r="Q202" s="19">
        <f t="shared" si="817"/>
        <v>319.52999999999997</v>
      </c>
      <c r="R202" s="17">
        <f t="shared" si="845"/>
        <v>62</v>
      </c>
      <c r="S202" s="17">
        <f t="shared" si="862"/>
        <v>6</v>
      </c>
      <c r="T202" s="17">
        <f t="shared" si="840"/>
        <v>0</v>
      </c>
      <c r="U202" s="17">
        <f t="shared" si="863"/>
        <v>0</v>
      </c>
      <c r="V202" s="17">
        <f t="shared" si="841"/>
        <v>2.98</v>
      </c>
      <c r="W202" s="17">
        <f t="shared" si="864"/>
        <v>0</v>
      </c>
      <c r="X202" s="17">
        <f t="shared" si="842"/>
        <v>4.57</v>
      </c>
      <c r="Y202" s="113">
        <f t="shared" si="865"/>
        <v>0.2</v>
      </c>
      <c r="Z202" s="127">
        <f t="shared" si="846"/>
        <v>44.04</v>
      </c>
      <c r="AA202" s="127">
        <f t="shared" si="847"/>
        <v>2.42</v>
      </c>
      <c r="AB202" s="127">
        <f t="shared" si="848"/>
        <v>0</v>
      </c>
      <c r="AC202" s="127">
        <f t="shared" si="849"/>
        <v>0</v>
      </c>
      <c r="AD202" s="127">
        <f t="shared" si="850"/>
        <v>1.91</v>
      </c>
      <c r="AE202" s="127">
        <f t="shared" si="851"/>
        <v>0</v>
      </c>
      <c r="AF202" s="127">
        <v>0</v>
      </c>
      <c r="AG202" s="127">
        <v>0</v>
      </c>
      <c r="AH202" s="127">
        <f t="shared" si="856"/>
        <v>17.95</v>
      </c>
      <c r="AI202" s="127">
        <f t="shared" si="852"/>
        <v>4.72</v>
      </c>
      <c r="AJ202" s="127">
        <f t="shared" si="853"/>
        <v>0</v>
      </c>
      <c r="AK202" s="127">
        <f t="shared" si="854"/>
        <v>0</v>
      </c>
      <c r="AL202" s="127">
        <f t="shared" si="786"/>
        <v>1.07</v>
      </c>
      <c r="AM202" s="127">
        <f t="shared" si="855"/>
        <v>0</v>
      </c>
      <c r="AN202" s="127">
        <f t="shared" si="787"/>
        <v>4.57</v>
      </c>
      <c r="AO202" s="127">
        <f t="shared" si="788"/>
        <v>0.24</v>
      </c>
      <c r="AP202" s="127">
        <f t="shared" si="789"/>
        <v>62</v>
      </c>
      <c r="AQ202" s="127">
        <f t="shared" si="790"/>
        <v>11.26</v>
      </c>
      <c r="AR202" s="127">
        <f t="shared" si="791"/>
        <v>0</v>
      </c>
      <c r="AS202" s="127">
        <f t="shared" si="792"/>
        <v>0</v>
      </c>
      <c r="AT202" s="127">
        <f t="shared" si="793"/>
        <v>2.98</v>
      </c>
      <c r="AU202" s="127">
        <f t="shared" si="794"/>
        <v>0</v>
      </c>
      <c r="AV202" s="127">
        <f t="shared" si="795"/>
        <v>4.57</v>
      </c>
      <c r="AW202" s="127">
        <f t="shared" si="796"/>
        <v>0.37</v>
      </c>
      <c r="AX202" s="127"/>
      <c r="AY202" s="127"/>
      <c r="AZ202" s="127">
        <f t="shared" si="870"/>
        <v>185.99</v>
      </c>
      <c r="BA202" s="127">
        <f t="shared" si="832"/>
        <v>24.4</v>
      </c>
      <c r="BB202" s="127">
        <f t="shared" si="872"/>
        <v>0</v>
      </c>
      <c r="BC202" s="127">
        <f t="shared" si="872"/>
        <v>0</v>
      </c>
      <c r="BD202" s="127">
        <f t="shared" si="871"/>
        <v>8.94</v>
      </c>
      <c r="BE202" s="127">
        <f t="shared" si="866"/>
        <v>0</v>
      </c>
      <c r="BF202" s="127">
        <f t="shared" si="866"/>
        <v>13.71</v>
      </c>
      <c r="BG202" s="127">
        <f t="shared" si="866"/>
        <v>0.81</v>
      </c>
      <c r="BH202" s="2"/>
      <c r="BI202" s="2"/>
      <c r="BJ202" s="2"/>
      <c r="BK202" s="2"/>
    </row>
    <row r="203" spans="1:68" ht="20.100000000000001" customHeight="1" x14ac:dyDescent="0.3">
      <c r="A203" s="15">
        <v>13</v>
      </c>
      <c r="B203" s="24" t="s">
        <v>145</v>
      </c>
      <c r="C203" s="17">
        <v>38.119999999999997</v>
      </c>
      <c r="D203" s="17">
        <v>15</v>
      </c>
      <c r="E203" s="19" t="e">
        <f>C203+D203+#REF!+#REF!</f>
        <v>#REF!</v>
      </c>
      <c r="F203" s="17">
        <v>0</v>
      </c>
      <c r="G203" s="28">
        <v>0</v>
      </c>
      <c r="H203" s="19" t="e">
        <f>F203+G203+#REF!</f>
        <v>#REF!</v>
      </c>
      <c r="I203" s="17">
        <v>0</v>
      </c>
      <c r="J203" s="17">
        <v>0</v>
      </c>
      <c r="K203" s="19">
        <f t="shared" si="838"/>
        <v>0</v>
      </c>
      <c r="L203" s="28">
        <v>4.53</v>
      </c>
      <c r="M203" s="28">
        <v>1.42</v>
      </c>
      <c r="N203" s="19">
        <f t="shared" si="831"/>
        <v>5.95</v>
      </c>
      <c r="O203" s="19">
        <f t="shared" si="868"/>
        <v>42.65</v>
      </c>
      <c r="P203" s="20">
        <f t="shared" si="869"/>
        <v>16.420000000000002</v>
      </c>
      <c r="Q203" s="19">
        <f t="shared" si="817"/>
        <v>59.07</v>
      </c>
      <c r="R203" s="17">
        <f t="shared" si="845"/>
        <v>9.5299999999999994</v>
      </c>
      <c r="S203" s="17">
        <f t="shared" si="862"/>
        <v>2.25</v>
      </c>
      <c r="T203" s="17">
        <f t="shared" si="840"/>
        <v>0</v>
      </c>
      <c r="U203" s="17">
        <f t="shared" si="863"/>
        <v>0</v>
      </c>
      <c r="V203" s="17">
        <f t="shared" si="841"/>
        <v>0</v>
      </c>
      <c r="W203" s="17">
        <f t="shared" si="864"/>
        <v>0</v>
      </c>
      <c r="X203" s="17">
        <f t="shared" si="842"/>
        <v>1.1299999999999999</v>
      </c>
      <c r="Y203" s="113">
        <f t="shared" si="865"/>
        <v>0.21</v>
      </c>
      <c r="Z203" s="127">
        <f t="shared" si="846"/>
        <v>6.77</v>
      </c>
      <c r="AA203" s="127">
        <f t="shared" si="847"/>
        <v>0.91</v>
      </c>
      <c r="AB203" s="127">
        <f t="shared" si="848"/>
        <v>0</v>
      </c>
      <c r="AC203" s="127">
        <f t="shared" si="849"/>
        <v>0</v>
      </c>
      <c r="AD203" s="127">
        <f t="shared" si="850"/>
        <v>0</v>
      </c>
      <c r="AE203" s="127">
        <f t="shared" si="851"/>
        <v>0</v>
      </c>
      <c r="AF203" s="127">
        <v>0</v>
      </c>
      <c r="AG203" s="127">
        <v>0</v>
      </c>
      <c r="AH203" s="127">
        <f t="shared" si="856"/>
        <v>2.76</v>
      </c>
      <c r="AI203" s="127">
        <f t="shared" si="852"/>
        <v>1.77</v>
      </c>
      <c r="AJ203" s="127">
        <f t="shared" si="853"/>
        <v>0</v>
      </c>
      <c r="AK203" s="127">
        <f t="shared" si="854"/>
        <v>0</v>
      </c>
      <c r="AL203" s="127">
        <f t="shared" si="786"/>
        <v>0</v>
      </c>
      <c r="AM203" s="127">
        <f t="shared" si="855"/>
        <v>0</v>
      </c>
      <c r="AN203" s="127">
        <f t="shared" si="787"/>
        <v>1.1299999999999999</v>
      </c>
      <c r="AO203" s="127">
        <f t="shared" si="788"/>
        <v>0.26</v>
      </c>
      <c r="AP203" s="127">
        <f t="shared" si="789"/>
        <v>9.5299999999999994</v>
      </c>
      <c r="AQ203" s="127">
        <f t="shared" si="790"/>
        <v>4.22</v>
      </c>
      <c r="AR203" s="127">
        <f t="shared" si="791"/>
        <v>0</v>
      </c>
      <c r="AS203" s="127">
        <f t="shared" si="792"/>
        <v>0</v>
      </c>
      <c r="AT203" s="127">
        <f t="shared" si="793"/>
        <v>0</v>
      </c>
      <c r="AU203" s="127">
        <f t="shared" si="794"/>
        <v>0</v>
      </c>
      <c r="AV203" s="127">
        <f t="shared" si="795"/>
        <v>1.1299999999999999</v>
      </c>
      <c r="AW203" s="127">
        <f t="shared" si="796"/>
        <v>0.4</v>
      </c>
      <c r="AX203" s="127"/>
      <c r="AY203" s="127"/>
      <c r="AZ203" s="127">
        <f t="shared" si="870"/>
        <v>28.589999999999996</v>
      </c>
      <c r="BA203" s="127">
        <f t="shared" si="832"/>
        <v>9.15</v>
      </c>
      <c r="BB203" s="127">
        <f t="shared" si="872"/>
        <v>0</v>
      </c>
      <c r="BC203" s="127">
        <f t="shared" si="872"/>
        <v>0</v>
      </c>
      <c r="BD203" s="127">
        <f t="shared" si="871"/>
        <v>0</v>
      </c>
      <c r="BE203" s="127">
        <f t="shared" si="866"/>
        <v>0</v>
      </c>
      <c r="BF203" s="127">
        <f t="shared" si="866"/>
        <v>3.3899999999999997</v>
      </c>
      <c r="BG203" s="127">
        <f t="shared" si="866"/>
        <v>0.87</v>
      </c>
      <c r="BH203" s="2"/>
      <c r="BI203" s="2"/>
      <c r="BJ203" s="2"/>
      <c r="BK203" s="2"/>
    </row>
    <row r="204" spans="1:68" ht="20.100000000000001" customHeight="1" x14ac:dyDescent="0.3">
      <c r="A204" s="15">
        <v>14</v>
      </c>
      <c r="B204" s="24" t="s">
        <v>146</v>
      </c>
      <c r="C204" s="17">
        <v>97.03</v>
      </c>
      <c r="D204" s="17">
        <v>20</v>
      </c>
      <c r="E204" s="19" t="e">
        <f>C204+D204+#REF!+#REF!</f>
        <v>#REF!</v>
      </c>
      <c r="F204" s="17">
        <v>0</v>
      </c>
      <c r="G204" s="28">
        <v>0</v>
      </c>
      <c r="H204" s="19" t="e">
        <f>F204+G204+#REF!</f>
        <v>#REF!</v>
      </c>
      <c r="I204" s="17">
        <v>12.99</v>
      </c>
      <c r="J204" s="17">
        <v>0</v>
      </c>
      <c r="K204" s="19">
        <f t="shared" si="838"/>
        <v>12.99</v>
      </c>
      <c r="L204" s="28">
        <v>18</v>
      </c>
      <c r="M204" s="28">
        <v>1.51</v>
      </c>
      <c r="N204" s="19">
        <f t="shared" si="831"/>
        <v>19.510000000000002</v>
      </c>
      <c r="O204" s="19">
        <f t="shared" si="868"/>
        <v>128.01999999999998</v>
      </c>
      <c r="P204" s="20">
        <f t="shared" si="869"/>
        <v>21.51</v>
      </c>
      <c r="Q204" s="19">
        <f t="shared" si="817"/>
        <v>149.52999999999997</v>
      </c>
      <c r="R204" s="17">
        <f t="shared" si="845"/>
        <v>24.26</v>
      </c>
      <c r="S204" s="17">
        <f t="shared" si="862"/>
        <v>3</v>
      </c>
      <c r="T204" s="17">
        <f t="shared" si="840"/>
        <v>0</v>
      </c>
      <c r="U204" s="17">
        <f t="shared" si="863"/>
        <v>0</v>
      </c>
      <c r="V204" s="17">
        <f t="shared" si="841"/>
        <v>3.25</v>
      </c>
      <c r="W204" s="17">
        <f t="shared" si="864"/>
        <v>0</v>
      </c>
      <c r="X204" s="17">
        <f t="shared" si="842"/>
        <v>4.5</v>
      </c>
      <c r="Y204" s="113">
        <f t="shared" si="865"/>
        <v>0.23</v>
      </c>
      <c r="Z204" s="127">
        <f t="shared" si="846"/>
        <v>17.23</v>
      </c>
      <c r="AA204" s="127">
        <f t="shared" si="847"/>
        <v>1.21</v>
      </c>
      <c r="AB204" s="127">
        <f t="shared" si="848"/>
        <v>0</v>
      </c>
      <c r="AC204" s="127">
        <f t="shared" si="849"/>
        <v>0</v>
      </c>
      <c r="AD204" s="127">
        <f t="shared" si="850"/>
        <v>2.08</v>
      </c>
      <c r="AE204" s="127">
        <f t="shared" si="851"/>
        <v>0</v>
      </c>
      <c r="AF204" s="127">
        <v>0</v>
      </c>
      <c r="AG204" s="127">
        <v>0</v>
      </c>
      <c r="AH204" s="127">
        <f t="shared" si="856"/>
        <v>7.02</v>
      </c>
      <c r="AI204" s="127">
        <f t="shared" si="852"/>
        <v>2.36</v>
      </c>
      <c r="AJ204" s="127">
        <f t="shared" si="853"/>
        <v>0</v>
      </c>
      <c r="AK204" s="127">
        <f t="shared" si="854"/>
        <v>0</v>
      </c>
      <c r="AL204" s="127">
        <f t="shared" si="786"/>
        <v>1.17</v>
      </c>
      <c r="AM204" s="127">
        <f t="shared" si="855"/>
        <v>0</v>
      </c>
      <c r="AN204" s="127">
        <f t="shared" si="787"/>
        <v>4.5</v>
      </c>
      <c r="AO204" s="127">
        <f t="shared" si="788"/>
        <v>0.27</v>
      </c>
      <c r="AP204" s="127">
        <f t="shared" si="789"/>
        <v>24.26</v>
      </c>
      <c r="AQ204" s="127">
        <f t="shared" si="790"/>
        <v>5.63</v>
      </c>
      <c r="AR204" s="127">
        <f t="shared" si="791"/>
        <v>0</v>
      </c>
      <c r="AS204" s="127">
        <f t="shared" si="792"/>
        <v>0</v>
      </c>
      <c r="AT204" s="127">
        <f t="shared" si="793"/>
        <v>3.25</v>
      </c>
      <c r="AU204" s="127">
        <f t="shared" si="794"/>
        <v>0</v>
      </c>
      <c r="AV204" s="127">
        <f t="shared" si="795"/>
        <v>4.5</v>
      </c>
      <c r="AW204" s="127">
        <f t="shared" si="796"/>
        <v>0.43</v>
      </c>
      <c r="AX204" s="127"/>
      <c r="AY204" s="127"/>
      <c r="AZ204" s="127">
        <f t="shared" si="870"/>
        <v>72.77000000000001</v>
      </c>
      <c r="BA204" s="127">
        <f t="shared" si="832"/>
        <v>12.2</v>
      </c>
      <c r="BB204" s="127">
        <f t="shared" si="872"/>
        <v>0</v>
      </c>
      <c r="BC204" s="127">
        <f t="shared" si="872"/>
        <v>0</v>
      </c>
      <c r="BD204" s="127">
        <f t="shared" si="871"/>
        <v>9.75</v>
      </c>
      <c r="BE204" s="127">
        <f t="shared" si="866"/>
        <v>0</v>
      </c>
      <c r="BF204" s="127">
        <f t="shared" si="866"/>
        <v>13.5</v>
      </c>
      <c r="BG204" s="127">
        <f t="shared" si="866"/>
        <v>0.92999999999999994</v>
      </c>
      <c r="BH204" s="2"/>
      <c r="BI204" s="2"/>
      <c r="BJ204" s="2"/>
      <c r="BK204" s="2"/>
    </row>
    <row r="205" spans="1:68" ht="20.100000000000001" customHeight="1" x14ac:dyDescent="0.3">
      <c r="A205" s="15">
        <v>15</v>
      </c>
      <c r="B205" s="24" t="s">
        <v>147</v>
      </c>
      <c r="C205" s="17">
        <v>79.5</v>
      </c>
      <c r="D205" s="17">
        <v>29.21</v>
      </c>
      <c r="E205" s="19" t="e">
        <f>C205+D205+#REF!+#REF!</f>
        <v>#REF!</v>
      </c>
      <c r="F205" s="17">
        <v>0</v>
      </c>
      <c r="G205" s="28">
        <v>0</v>
      </c>
      <c r="H205" s="19" t="e">
        <f>F205+G205+#REF!</f>
        <v>#REF!</v>
      </c>
      <c r="I205" s="17">
        <v>29.83</v>
      </c>
      <c r="J205" s="17">
        <v>0</v>
      </c>
      <c r="K205" s="19">
        <f t="shared" si="838"/>
        <v>29.83</v>
      </c>
      <c r="L205" s="28">
        <v>12.6</v>
      </c>
      <c r="M205" s="28">
        <v>1.39</v>
      </c>
      <c r="N205" s="19">
        <f t="shared" si="831"/>
        <v>13.99</v>
      </c>
      <c r="O205" s="19">
        <f t="shared" si="868"/>
        <v>121.92999999999999</v>
      </c>
      <c r="P205" s="20">
        <f t="shared" si="869"/>
        <v>30.6</v>
      </c>
      <c r="Q205" s="19">
        <f t="shared" si="817"/>
        <v>152.53</v>
      </c>
      <c r="R205" s="17">
        <f t="shared" si="845"/>
        <v>19.88</v>
      </c>
      <c r="S205" s="17">
        <f t="shared" si="862"/>
        <v>4.38</v>
      </c>
      <c r="T205" s="17">
        <f t="shared" si="840"/>
        <v>0</v>
      </c>
      <c r="U205" s="17">
        <f t="shared" si="863"/>
        <v>0</v>
      </c>
      <c r="V205" s="17">
        <f t="shared" si="841"/>
        <v>7.46</v>
      </c>
      <c r="W205" s="17">
        <f t="shared" si="864"/>
        <v>0</v>
      </c>
      <c r="X205" s="17">
        <f t="shared" si="842"/>
        <v>3.15</v>
      </c>
      <c r="Y205" s="113">
        <f t="shared" si="865"/>
        <v>0.21</v>
      </c>
      <c r="Z205" s="127">
        <f t="shared" si="846"/>
        <v>14.12</v>
      </c>
      <c r="AA205" s="127">
        <f t="shared" si="847"/>
        <v>1.77</v>
      </c>
      <c r="AB205" s="127">
        <f t="shared" si="848"/>
        <v>0</v>
      </c>
      <c r="AC205" s="127">
        <f t="shared" si="849"/>
        <v>0</v>
      </c>
      <c r="AD205" s="127">
        <f t="shared" si="850"/>
        <v>4.7699999999999996</v>
      </c>
      <c r="AE205" s="127">
        <f t="shared" si="851"/>
        <v>0</v>
      </c>
      <c r="AF205" s="127">
        <v>0</v>
      </c>
      <c r="AG205" s="127">
        <v>0</v>
      </c>
      <c r="AH205" s="127">
        <f t="shared" si="856"/>
        <v>5.76</v>
      </c>
      <c r="AI205" s="127">
        <f t="shared" si="852"/>
        <v>3.44</v>
      </c>
      <c r="AJ205" s="127">
        <f t="shared" si="853"/>
        <v>0</v>
      </c>
      <c r="AK205" s="127">
        <f t="shared" si="854"/>
        <v>0</v>
      </c>
      <c r="AL205" s="127">
        <f t="shared" si="786"/>
        <v>2.68</v>
      </c>
      <c r="AM205" s="127">
        <f t="shared" si="855"/>
        <v>0</v>
      </c>
      <c r="AN205" s="127">
        <f t="shared" si="787"/>
        <v>3.15</v>
      </c>
      <c r="AO205" s="127">
        <f t="shared" si="788"/>
        <v>0.25</v>
      </c>
      <c r="AP205" s="127">
        <f t="shared" si="789"/>
        <v>19.88</v>
      </c>
      <c r="AQ205" s="127">
        <f t="shared" si="790"/>
        <v>8.2200000000000006</v>
      </c>
      <c r="AR205" s="127">
        <f t="shared" si="791"/>
        <v>0</v>
      </c>
      <c r="AS205" s="127">
        <f t="shared" si="792"/>
        <v>0</v>
      </c>
      <c r="AT205" s="127">
        <f t="shared" si="793"/>
        <v>7.46</v>
      </c>
      <c r="AU205" s="127">
        <f t="shared" si="794"/>
        <v>0</v>
      </c>
      <c r="AV205" s="127">
        <f t="shared" si="795"/>
        <v>3.15</v>
      </c>
      <c r="AW205" s="127">
        <f t="shared" si="796"/>
        <v>0.39</v>
      </c>
      <c r="AX205" s="127"/>
      <c r="AY205" s="127"/>
      <c r="AZ205" s="127">
        <f t="shared" si="870"/>
        <v>59.64</v>
      </c>
      <c r="BA205" s="127">
        <f t="shared" si="832"/>
        <v>17.809999999999999</v>
      </c>
      <c r="BB205" s="127">
        <f t="shared" si="872"/>
        <v>0</v>
      </c>
      <c r="BC205" s="127">
        <f t="shared" si="872"/>
        <v>0</v>
      </c>
      <c r="BD205" s="127">
        <f t="shared" si="871"/>
        <v>22.37</v>
      </c>
      <c r="BE205" s="127">
        <f t="shared" si="866"/>
        <v>0</v>
      </c>
      <c r="BF205" s="127">
        <f t="shared" si="866"/>
        <v>9.4499999999999993</v>
      </c>
      <c r="BG205" s="127">
        <f t="shared" si="866"/>
        <v>0.85</v>
      </c>
      <c r="BH205" s="2"/>
      <c r="BI205" s="2"/>
      <c r="BJ205" s="2"/>
      <c r="BK205" s="2"/>
    </row>
    <row r="206" spans="1:68" ht="20.100000000000001" customHeight="1" x14ac:dyDescent="0.3">
      <c r="A206" s="15">
        <v>16</v>
      </c>
      <c r="B206" s="24" t="s">
        <v>148</v>
      </c>
      <c r="C206" s="17">
        <v>232.87</v>
      </c>
      <c r="D206" s="17">
        <v>50</v>
      </c>
      <c r="E206" s="19" t="e">
        <f>C206+D206+#REF!+#REF!</f>
        <v>#REF!</v>
      </c>
      <c r="F206" s="17">
        <v>0</v>
      </c>
      <c r="G206" s="28">
        <v>0</v>
      </c>
      <c r="H206" s="19">
        <v>0</v>
      </c>
      <c r="I206" s="17">
        <v>0</v>
      </c>
      <c r="J206" s="17">
        <v>0</v>
      </c>
      <c r="K206" s="19">
        <f t="shared" si="838"/>
        <v>0</v>
      </c>
      <c r="L206" s="28">
        <v>26.12</v>
      </c>
      <c r="M206" s="28">
        <v>11.99</v>
      </c>
      <c r="N206" s="19">
        <f t="shared" si="831"/>
        <v>38.11</v>
      </c>
      <c r="O206" s="19">
        <f t="shared" si="868"/>
        <v>258.99</v>
      </c>
      <c r="P206" s="20">
        <f t="shared" si="869"/>
        <v>61.99</v>
      </c>
      <c r="Q206" s="19">
        <f t="shared" si="817"/>
        <v>320.98</v>
      </c>
      <c r="R206" s="75">
        <f>ROUND(C206*0.25,2)-0.02</f>
        <v>58.199999999999996</v>
      </c>
      <c r="S206" s="75">
        <f>ROUND(D206*0.15,2)-0.01</f>
        <v>7.49</v>
      </c>
      <c r="T206" s="17">
        <f t="shared" si="840"/>
        <v>0</v>
      </c>
      <c r="U206" s="17">
        <f t="shared" si="863"/>
        <v>0</v>
      </c>
      <c r="V206" s="17">
        <f t="shared" si="841"/>
        <v>0</v>
      </c>
      <c r="W206" s="17">
        <f t="shared" si="864"/>
        <v>0</v>
      </c>
      <c r="X206" s="17">
        <f t="shared" si="842"/>
        <v>6.53</v>
      </c>
      <c r="Y206" s="113">
        <f t="shared" si="865"/>
        <v>1.8</v>
      </c>
      <c r="Z206" s="127">
        <f t="shared" si="846"/>
        <v>41.36</v>
      </c>
      <c r="AA206" s="127">
        <f t="shared" si="847"/>
        <v>3.03</v>
      </c>
      <c r="AB206" s="127">
        <f t="shared" si="848"/>
        <v>0</v>
      </c>
      <c r="AC206" s="127">
        <f t="shared" si="849"/>
        <v>0</v>
      </c>
      <c r="AD206" s="127">
        <f t="shared" si="850"/>
        <v>0</v>
      </c>
      <c r="AE206" s="127">
        <f t="shared" si="851"/>
        <v>0</v>
      </c>
      <c r="AF206" s="127">
        <v>0</v>
      </c>
      <c r="AG206" s="127">
        <v>0</v>
      </c>
      <c r="AH206" s="127">
        <f t="shared" si="856"/>
        <v>16.86</v>
      </c>
      <c r="AI206" s="127">
        <f t="shared" si="852"/>
        <v>5.9</v>
      </c>
      <c r="AJ206" s="127">
        <f t="shared" si="853"/>
        <v>0</v>
      </c>
      <c r="AK206" s="127">
        <f t="shared" si="854"/>
        <v>0</v>
      </c>
      <c r="AL206" s="127">
        <f t="shared" si="786"/>
        <v>0</v>
      </c>
      <c r="AM206" s="127">
        <f t="shared" si="855"/>
        <v>0</v>
      </c>
      <c r="AN206" s="127">
        <f t="shared" si="787"/>
        <v>6.53</v>
      </c>
      <c r="AO206" s="127">
        <f t="shared" si="788"/>
        <v>2.16</v>
      </c>
      <c r="AP206" s="127">
        <f t="shared" si="789"/>
        <v>58.22</v>
      </c>
      <c r="AQ206" s="127">
        <f t="shared" si="790"/>
        <v>14.08</v>
      </c>
      <c r="AR206" s="127">
        <f t="shared" si="791"/>
        <v>0</v>
      </c>
      <c r="AS206" s="127">
        <f t="shared" si="792"/>
        <v>0</v>
      </c>
      <c r="AT206" s="127">
        <f t="shared" si="793"/>
        <v>0</v>
      </c>
      <c r="AU206" s="127">
        <f t="shared" si="794"/>
        <v>0</v>
      </c>
      <c r="AV206" s="127">
        <f t="shared" si="795"/>
        <v>6.53</v>
      </c>
      <c r="AW206" s="127">
        <f t="shared" si="796"/>
        <v>3.38</v>
      </c>
      <c r="AX206" s="127"/>
      <c r="AY206" s="127"/>
      <c r="AZ206" s="127">
        <f t="shared" si="870"/>
        <v>174.64</v>
      </c>
      <c r="BA206" s="127">
        <f t="shared" si="832"/>
        <v>30.5</v>
      </c>
      <c r="BB206" s="127">
        <f t="shared" si="872"/>
        <v>0</v>
      </c>
      <c r="BC206" s="127">
        <f t="shared" si="872"/>
        <v>0</v>
      </c>
      <c r="BD206" s="127">
        <f t="shared" si="871"/>
        <v>0</v>
      </c>
      <c r="BE206" s="127">
        <f t="shared" si="866"/>
        <v>0</v>
      </c>
      <c r="BF206" s="127">
        <f t="shared" si="866"/>
        <v>19.59</v>
      </c>
      <c r="BG206" s="127">
        <f t="shared" si="866"/>
        <v>7.34</v>
      </c>
      <c r="BH206" s="2"/>
      <c r="BI206" s="2"/>
      <c r="BJ206" s="2"/>
      <c r="BK206" s="2"/>
    </row>
    <row r="207" spans="1:68" s="6" customFormat="1" ht="20.100000000000001" customHeight="1" x14ac:dyDescent="0.3">
      <c r="A207" s="76"/>
      <c r="B207" s="85" t="s">
        <v>143</v>
      </c>
      <c r="C207" s="78">
        <f>SUM(C201:C206)</f>
        <v>1086.92</v>
      </c>
      <c r="D207" s="78">
        <f t="shared" ref="D207:BG207" si="873">SUM(D201:D206)</f>
        <v>336.79</v>
      </c>
      <c r="E207" s="78" t="e">
        <f t="shared" si="873"/>
        <v>#REF!</v>
      </c>
      <c r="F207" s="78">
        <f t="shared" si="873"/>
        <v>0</v>
      </c>
      <c r="G207" s="78">
        <f t="shared" si="873"/>
        <v>0</v>
      </c>
      <c r="H207" s="78" t="e">
        <f t="shared" si="873"/>
        <v>#REF!</v>
      </c>
      <c r="I207" s="78">
        <f t="shared" si="873"/>
        <v>78.62</v>
      </c>
      <c r="J207" s="78">
        <f t="shared" si="873"/>
        <v>0</v>
      </c>
      <c r="K207" s="78">
        <f t="shared" si="873"/>
        <v>78.62</v>
      </c>
      <c r="L207" s="78">
        <f t="shared" si="873"/>
        <v>115.25</v>
      </c>
      <c r="M207" s="78">
        <f t="shared" si="873"/>
        <v>24.61</v>
      </c>
      <c r="N207" s="78">
        <f t="shared" si="873"/>
        <v>139.86000000000001</v>
      </c>
      <c r="O207" s="78">
        <f t="shared" si="873"/>
        <v>1280.79</v>
      </c>
      <c r="P207" s="78">
        <f t="shared" si="873"/>
        <v>361.40000000000003</v>
      </c>
      <c r="Q207" s="78">
        <f t="shared" si="873"/>
        <v>1642.1899999999998</v>
      </c>
      <c r="R207" s="78">
        <f t="shared" si="873"/>
        <v>271.73</v>
      </c>
      <c r="S207" s="78">
        <f t="shared" si="873"/>
        <v>50.510000000000005</v>
      </c>
      <c r="T207" s="78">
        <f t="shared" si="873"/>
        <v>0</v>
      </c>
      <c r="U207" s="78">
        <f t="shared" si="873"/>
        <v>0</v>
      </c>
      <c r="V207" s="78">
        <f t="shared" si="873"/>
        <v>19.66</v>
      </c>
      <c r="W207" s="78">
        <f t="shared" si="873"/>
        <v>0</v>
      </c>
      <c r="X207" s="78">
        <f t="shared" si="873"/>
        <v>28.81</v>
      </c>
      <c r="Y207" s="114">
        <f t="shared" si="873"/>
        <v>3.7</v>
      </c>
      <c r="Z207" s="78">
        <f t="shared" si="873"/>
        <v>193.04000000000002</v>
      </c>
      <c r="AA207" s="78">
        <f t="shared" si="873"/>
        <v>20.400000000000002</v>
      </c>
      <c r="AB207" s="78">
        <f t="shared" si="873"/>
        <v>0</v>
      </c>
      <c r="AC207" s="78">
        <f t="shared" si="873"/>
        <v>0</v>
      </c>
      <c r="AD207" s="78">
        <f t="shared" si="873"/>
        <v>12.579999999999998</v>
      </c>
      <c r="AE207" s="78">
        <f t="shared" si="873"/>
        <v>0</v>
      </c>
      <c r="AF207" s="78">
        <f t="shared" si="873"/>
        <v>0</v>
      </c>
      <c r="AG207" s="78">
        <f t="shared" si="873"/>
        <v>0</v>
      </c>
      <c r="AH207" s="78">
        <f t="shared" si="873"/>
        <v>78.69</v>
      </c>
      <c r="AI207" s="78">
        <f>SUM(AI201:AI206)</f>
        <v>39.699999999999996</v>
      </c>
      <c r="AJ207" s="78">
        <f t="shared" si="873"/>
        <v>0</v>
      </c>
      <c r="AK207" s="78">
        <f t="shared" si="873"/>
        <v>0</v>
      </c>
      <c r="AL207" s="78">
        <f t="shared" si="873"/>
        <v>7.07</v>
      </c>
      <c r="AM207" s="78">
        <f t="shared" si="873"/>
        <v>0</v>
      </c>
      <c r="AN207" s="78">
        <f t="shared" si="873"/>
        <v>28.81</v>
      </c>
      <c r="AO207" s="78">
        <f t="shared" si="873"/>
        <v>4.43</v>
      </c>
      <c r="AP207" s="78">
        <f t="shared" si="873"/>
        <v>271.75</v>
      </c>
      <c r="AQ207" s="78">
        <f t="shared" si="873"/>
        <v>94.809999999999988</v>
      </c>
      <c r="AR207" s="78">
        <f t="shared" si="873"/>
        <v>0</v>
      </c>
      <c r="AS207" s="78">
        <f t="shared" si="873"/>
        <v>0</v>
      </c>
      <c r="AT207" s="78">
        <f t="shared" si="873"/>
        <v>19.66</v>
      </c>
      <c r="AU207" s="78">
        <f t="shared" si="873"/>
        <v>0</v>
      </c>
      <c r="AV207" s="78">
        <f t="shared" si="873"/>
        <v>28.81</v>
      </c>
      <c r="AW207" s="78">
        <f t="shared" si="873"/>
        <v>6.93</v>
      </c>
      <c r="AX207" s="78">
        <f t="shared" si="873"/>
        <v>0</v>
      </c>
      <c r="AY207" s="78">
        <f t="shared" si="873"/>
        <v>0</v>
      </c>
      <c r="AZ207" s="78">
        <f t="shared" si="873"/>
        <v>815.20999999999992</v>
      </c>
      <c r="BA207" s="78">
        <f t="shared" si="873"/>
        <v>205.42</v>
      </c>
      <c r="BB207" s="78">
        <f t="shared" si="873"/>
        <v>0</v>
      </c>
      <c r="BC207" s="78">
        <f t="shared" si="873"/>
        <v>0</v>
      </c>
      <c r="BD207" s="78">
        <f t="shared" si="873"/>
        <v>58.97</v>
      </c>
      <c r="BE207" s="78">
        <f t="shared" si="873"/>
        <v>0</v>
      </c>
      <c r="BF207" s="78">
        <f t="shared" si="873"/>
        <v>86.43</v>
      </c>
      <c r="BG207" s="78">
        <f t="shared" si="873"/>
        <v>15.059999999999999</v>
      </c>
      <c r="BH207" s="78"/>
      <c r="BI207" s="78"/>
      <c r="BJ207" s="78"/>
      <c r="BK207" s="78"/>
      <c r="BL207" s="78">
        <f t="shared" ref="BL207:BP207" si="874">SUM(BL201:BL206)</f>
        <v>0</v>
      </c>
      <c r="BM207" s="78">
        <f t="shared" si="874"/>
        <v>0</v>
      </c>
      <c r="BN207" s="78">
        <f t="shared" si="874"/>
        <v>0</v>
      </c>
      <c r="BO207" s="78">
        <f t="shared" si="874"/>
        <v>0</v>
      </c>
      <c r="BP207" s="78">
        <f t="shared" si="874"/>
        <v>0</v>
      </c>
    </row>
    <row r="208" spans="1:68" ht="20.100000000000001" customHeight="1" x14ac:dyDescent="0.3">
      <c r="A208" s="15">
        <v>17</v>
      </c>
      <c r="B208" s="24" t="s">
        <v>149</v>
      </c>
      <c r="C208" s="17">
        <v>844.6</v>
      </c>
      <c r="D208" s="17">
        <v>200</v>
      </c>
      <c r="E208" s="19" t="e">
        <f>C208+D208+#REF!+#REF!</f>
        <v>#REF!</v>
      </c>
      <c r="F208" s="17">
        <v>0</v>
      </c>
      <c r="G208" s="28">
        <v>0</v>
      </c>
      <c r="H208" s="19" t="e">
        <f>F208+G208+#REF!</f>
        <v>#REF!</v>
      </c>
      <c r="I208" s="17">
        <v>0</v>
      </c>
      <c r="J208" s="17">
        <v>0</v>
      </c>
      <c r="K208" s="19">
        <f t="shared" si="838"/>
        <v>0</v>
      </c>
      <c r="L208" s="28">
        <v>89.75</v>
      </c>
      <c r="M208" s="28">
        <v>12.53</v>
      </c>
      <c r="N208" s="19">
        <f t="shared" si="831"/>
        <v>102.28</v>
      </c>
      <c r="O208" s="19">
        <f t="shared" ref="O208:P210" si="875">C208+F208+I208+L208</f>
        <v>934.35</v>
      </c>
      <c r="P208" s="20">
        <f t="shared" si="875"/>
        <v>212.53</v>
      </c>
      <c r="Q208" s="19">
        <f t="shared" si="817"/>
        <v>1146.8800000000001</v>
      </c>
      <c r="R208" s="17">
        <f t="shared" si="845"/>
        <v>211.15</v>
      </c>
      <c r="S208" s="17">
        <f t="shared" si="862"/>
        <v>30</v>
      </c>
      <c r="T208" s="17">
        <f t="shared" si="840"/>
        <v>0</v>
      </c>
      <c r="U208" s="17">
        <f t="shared" si="863"/>
        <v>0</v>
      </c>
      <c r="V208" s="17">
        <f t="shared" si="841"/>
        <v>0</v>
      </c>
      <c r="W208" s="17">
        <f t="shared" si="864"/>
        <v>0</v>
      </c>
      <c r="X208" s="17">
        <f t="shared" si="842"/>
        <v>22.44</v>
      </c>
      <c r="Y208" s="113">
        <f t="shared" si="865"/>
        <v>1.88</v>
      </c>
      <c r="Z208" s="127">
        <f>ROUND(C208*17.76%,2)-0.02</f>
        <v>149.97999999999999</v>
      </c>
      <c r="AA208" s="127">
        <f t="shared" si="847"/>
        <v>12.12</v>
      </c>
      <c r="AB208" s="127">
        <f t="shared" si="848"/>
        <v>0</v>
      </c>
      <c r="AC208" s="127">
        <f t="shared" si="849"/>
        <v>0</v>
      </c>
      <c r="AD208" s="127">
        <f t="shared" si="850"/>
        <v>0</v>
      </c>
      <c r="AE208" s="127">
        <f t="shared" si="851"/>
        <v>0</v>
      </c>
      <c r="AF208" s="127">
        <v>0</v>
      </c>
      <c r="AG208" s="127">
        <v>0</v>
      </c>
      <c r="AH208" s="127">
        <f t="shared" si="856"/>
        <v>61.15</v>
      </c>
      <c r="AI208" s="127">
        <f>ROUND(D208*11.79%,2)-0.02</f>
        <v>23.56</v>
      </c>
      <c r="AJ208" s="127">
        <f t="shared" si="853"/>
        <v>0</v>
      </c>
      <c r="AK208" s="127">
        <f t="shared" si="854"/>
        <v>0</v>
      </c>
      <c r="AL208" s="127">
        <f t="shared" si="786"/>
        <v>0</v>
      </c>
      <c r="AM208" s="127">
        <f t="shared" si="855"/>
        <v>0</v>
      </c>
      <c r="AN208" s="127">
        <f>ROUND(L208*25%,2)-0.02</f>
        <v>22.42</v>
      </c>
      <c r="AO208" s="127">
        <f t="shared" si="788"/>
        <v>2.2599999999999998</v>
      </c>
      <c r="AP208" s="127">
        <f t="shared" si="789"/>
        <v>211.15</v>
      </c>
      <c r="AQ208" s="127">
        <f t="shared" si="790"/>
        <v>56.3</v>
      </c>
      <c r="AR208" s="127">
        <f t="shared" si="791"/>
        <v>0</v>
      </c>
      <c r="AS208" s="127">
        <f t="shared" si="792"/>
        <v>0</v>
      </c>
      <c r="AT208" s="127">
        <f t="shared" si="793"/>
        <v>0</v>
      </c>
      <c r="AU208" s="127">
        <f t="shared" si="794"/>
        <v>0</v>
      </c>
      <c r="AV208" s="127">
        <f t="shared" si="795"/>
        <v>22.44</v>
      </c>
      <c r="AW208" s="127">
        <f t="shared" si="796"/>
        <v>3.53</v>
      </c>
      <c r="AX208" s="127"/>
      <c r="AY208" s="127"/>
      <c r="AZ208" s="127">
        <f t="shared" si="870"/>
        <v>633.42999999999995</v>
      </c>
      <c r="BA208" s="127">
        <f t="shared" si="832"/>
        <v>121.98</v>
      </c>
      <c r="BB208" s="127">
        <f t="shared" si="872"/>
        <v>0</v>
      </c>
      <c r="BC208" s="127">
        <f t="shared" si="872"/>
        <v>0</v>
      </c>
      <c r="BD208" s="127">
        <f t="shared" si="871"/>
        <v>0</v>
      </c>
      <c r="BE208" s="127">
        <f t="shared" si="866"/>
        <v>0</v>
      </c>
      <c r="BF208" s="127">
        <f t="shared" si="866"/>
        <v>67.3</v>
      </c>
      <c r="BG208" s="127">
        <f t="shared" si="866"/>
        <v>7.669999999999999</v>
      </c>
      <c r="BH208" s="2"/>
      <c r="BI208" s="2"/>
      <c r="BJ208" s="2"/>
      <c r="BK208" s="2"/>
    </row>
    <row r="209" spans="1:66" ht="20.100000000000001" customHeight="1" x14ac:dyDescent="0.3">
      <c r="A209" s="15">
        <v>18</v>
      </c>
      <c r="B209" s="24" t="s">
        <v>238</v>
      </c>
      <c r="C209" s="17">
        <v>286.68</v>
      </c>
      <c r="D209" s="17">
        <v>20.64</v>
      </c>
      <c r="E209" s="19" t="e">
        <f>C209+D209+#REF!+#REF!</f>
        <v>#REF!</v>
      </c>
      <c r="F209" s="17">
        <v>0</v>
      </c>
      <c r="G209" s="28">
        <v>0</v>
      </c>
      <c r="H209" s="19" t="e">
        <f>F209+G209+#REF!</f>
        <v>#REF!</v>
      </c>
      <c r="I209" s="17">
        <v>0</v>
      </c>
      <c r="J209" s="17">
        <v>0</v>
      </c>
      <c r="K209" s="19">
        <f t="shared" si="838"/>
        <v>0</v>
      </c>
      <c r="L209" s="28">
        <v>23.8</v>
      </c>
      <c r="M209" s="28">
        <v>13.24</v>
      </c>
      <c r="N209" s="19">
        <f t="shared" si="831"/>
        <v>37.04</v>
      </c>
      <c r="O209" s="19">
        <f t="shared" si="875"/>
        <v>310.48</v>
      </c>
      <c r="P209" s="20">
        <f t="shared" si="875"/>
        <v>33.880000000000003</v>
      </c>
      <c r="Q209" s="19">
        <f t="shared" si="817"/>
        <v>344.36</v>
      </c>
      <c r="R209" s="17">
        <f t="shared" si="845"/>
        <v>71.67</v>
      </c>
      <c r="S209" s="17">
        <f t="shared" si="862"/>
        <v>3.1</v>
      </c>
      <c r="T209" s="17">
        <f t="shared" si="840"/>
        <v>0</v>
      </c>
      <c r="U209" s="17">
        <f t="shared" si="863"/>
        <v>0</v>
      </c>
      <c r="V209" s="17">
        <f t="shared" si="841"/>
        <v>0</v>
      </c>
      <c r="W209" s="17">
        <f t="shared" si="864"/>
        <v>0</v>
      </c>
      <c r="X209" s="17">
        <f t="shared" si="842"/>
        <v>5.95</v>
      </c>
      <c r="Y209" s="113">
        <f t="shared" si="865"/>
        <v>1.99</v>
      </c>
      <c r="Z209" s="127">
        <f t="shared" si="846"/>
        <v>50.91</v>
      </c>
      <c r="AA209" s="127">
        <f t="shared" si="847"/>
        <v>1.25</v>
      </c>
      <c r="AB209" s="127">
        <f t="shared" si="848"/>
        <v>0</v>
      </c>
      <c r="AC209" s="127">
        <f t="shared" si="849"/>
        <v>0</v>
      </c>
      <c r="AD209" s="127">
        <f t="shared" si="850"/>
        <v>0</v>
      </c>
      <c r="AE209" s="127">
        <f t="shared" si="851"/>
        <v>0</v>
      </c>
      <c r="AF209" s="127">
        <v>0</v>
      </c>
      <c r="AG209" s="127">
        <v>0</v>
      </c>
      <c r="AH209" s="127">
        <f t="shared" si="856"/>
        <v>20.76</v>
      </c>
      <c r="AI209" s="127">
        <f t="shared" si="852"/>
        <v>2.4300000000000002</v>
      </c>
      <c r="AJ209" s="127">
        <f t="shared" si="853"/>
        <v>0</v>
      </c>
      <c r="AK209" s="127">
        <f t="shared" si="854"/>
        <v>0</v>
      </c>
      <c r="AL209" s="127">
        <f t="shared" si="786"/>
        <v>0</v>
      </c>
      <c r="AM209" s="127">
        <f t="shared" si="855"/>
        <v>0</v>
      </c>
      <c r="AN209" s="127">
        <f t="shared" si="787"/>
        <v>5.95</v>
      </c>
      <c r="AO209" s="127">
        <f t="shared" si="788"/>
        <v>2.38</v>
      </c>
      <c r="AP209" s="127">
        <f t="shared" si="789"/>
        <v>71.67</v>
      </c>
      <c r="AQ209" s="127">
        <f t="shared" si="790"/>
        <v>5.81</v>
      </c>
      <c r="AR209" s="127">
        <f t="shared" si="791"/>
        <v>0</v>
      </c>
      <c r="AS209" s="127">
        <f t="shared" si="792"/>
        <v>0</v>
      </c>
      <c r="AT209" s="127">
        <f t="shared" si="793"/>
        <v>0</v>
      </c>
      <c r="AU209" s="127">
        <f t="shared" si="794"/>
        <v>0</v>
      </c>
      <c r="AV209" s="127">
        <f t="shared" si="795"/>
        <v>5.95</v>
      </c>
      <c r="AW209" s="127">
        <f t="shared" si="796"/>
        <v>3.73</v>
      </c>
      <c r="AX209" s="127"/>
      <c r="AY209" s="127"/>
      <c r="AZ209" s="127">
        <f t="shared" si="870"/>
        <v>215.01</v>
      </c>
      <c r="BA209" s="127">
        <f t="shared" si="832"/>
        <v>12.59</v>
      </c>
      <c r="BB209" s="127">
        <f t="shared" si="872"/>
        <v>0</v>
      </c>
      <c r="BC209" s="127">
        <f t="shared" si="872"/>
        <v>0</v>
      </c>
      <c r="BD209" s="127">
        <f t="shared" si="871"/>
        <v>0</v>
      </c>
      <c r="BE209" s="127">
        <f t="shared" si="866"/>
        <v>0</v>
      </c>
      <c r="BF209" s="127">
        <f t="shared" si="866"/>
        <v>17.850000000000001</v>
      </c>
      <c r="BG209" s="127">
        <f t="shared" si="866"/>
        <v>8.1</v>
      </c>
      <c r="BH209" s="2"/>
      <c r="BI209" s="2"/>
      <c r="BJ209" s="2"/>
      <c r="BK209" s="2"/>
    </row>
    <row r="210" spans="1:66" ht="20.100000000000001" customHeight="1" x14ac:dyDescent="0.3">
      <c r="A210" s="15">
        <v>19</v>
      </c>
      <c r="B210" s="24" t="s">
        <v>150</v>
      </c>
      <c r="C210" s="17">
        <v>168.71</v>
      </c>
      <c r="D210" s="17">
        <v>20</v>
      </c>
      <c r="E210" s="19" t="e">
        <f>C210+D210+#REF!+#REF!</f>
        <v>#REF!</v>
      </c>
      <c r="F210" s="17">
        <v>0</v>
      </c>
      <c r="G210" s="28">
        <v>0</v>
      </c>
      <c r="H210" s="19" t="e">
        <f>F210+G210+#REF!</f>
        <v>#REF!</v>
      </c>
      <c r="I210" s="17">
        <v>19.579999999999998</v>
      </c>
      <c r="J210" s="17">
        <v>0</v>
      </c>
      <c r="K210" s="19">
        <f t="shared" si="838"/>
        <v>19.579999999999998</v>
      </c>
      <c r="L210" s="28">
        <v>20.100000000000001</v>
      </c>
      <c r="M210" s="28">
        <v>5.58</v>
      </c>
      <c r="N210" s="19">
        <f t="shared" si="831"/>
        <v>25.68</v>
      </c>
      <c r="O210" s="19">
        <f t="shared" si="875"/>
        <v>208.39000000000001</v>
      </c>
      <c r="P210" s="20">
        <f t="shared" si="875"/>
        <v>25.58</v>
      </c>
      <c r="Q210" s="19">
        <f t="shared" si="817"/>
        <v>233.97000000000003</v>
      </c>
      <c r="R210" s="17">
        <f t="shared" si="845"/>
        <v>42.18</v>
      </c>
      <c r="S210" s="17">
        <f t="shared" si="862"/>
        <v>3</v>
      </c>
      <c r="T210" s="17">
        <f t="shared" si="840"/>
        <v>0</v>
      </c>
      <c r="U210" s="17">
        <f t="shared" si="863"/>
        <v>0</v>
      </c>
      <c r="V210" s="17">
        <f t="shared" si="841"/>
        <v>4.9000000000000004</v>
      </c>
      <c r="W210" s="17">
        <f t="shared" si="864"/>
        <v>0</v>
      </c>
      <c r="X210" s="17">
        <f t="shared" si="842"/>
        <v>5.03</v>
      </c>
      <c r="Y210" s="113">
        <f t="shared" si="865"/>
        <v>0.84</v>
      </c>
      <c r="Z210" s="127">
        <f t="shared" si="846"/>
        <v>29.96</v>
      </c>
      <c r="AA210" s="127">
        <f t="shared" si="847"/>
        <v>1.21</v>
      </c>
      <c r="AB210" s="127">
        <f t="shared" si="848"/>
        <v>0</v>
      </c>
      <c r="AC210" s="127">
        <f t="shared" si="849"/>
        <v>0</v>
      </c>
      <c r="AD210" s="127">
        <f t="shared" si="850"/>
        <v>3.13</v>
      </c>
      <c r="AE210" s="127">
        <f t="shared" si="851"/>
        <v>0</v>
      </c>
      <c r="AF210" s="127">
        <v>0</v>
      </c>
      <c r="AG210" s="127">
        <v>0</v>
      </c>
      <c r="AH210" s="127">
        <f t="shared" si="856"/>
        <v>12.21</v>
      </c>
      <c r="AI210" s="127">
        <f t="shared" si="852"/>
        <v>2.36</v>
      </c>
      <c r="AJ210" s="127">
        <f t="shared" si="853"/>
        <v>0</v>
      </c>
      <c r="AK210" s="127">
        <f t="shared" si="854"/>
        <v>0</v>
      </c>
      <c r="AL210" s="127">
        <f t="shared" si="786"/>
        <v>1.76</v>
      </c>
      <c r="AM210" s="127">
        <f t="shared" si="855"/>
        <v>0</v>
      </c>
      <c r="AN210" s="127">
        <f t="shared" si="787"/>
        <v>5.03</v>
      </c>
      <c r="AO210" s="127">
        <f t="shared" si="788"/>
        <v>1</v>
      </c>
      <c r="AP210" s="127">
        <f t="shared" si="789"/>
        <v>42.18</v>
      </c>
      <c r="AQ210" s="127">
        <f t="shared" si="790"/>
        <v>5.63</v>
      </c>
      <c r="AR210" s="127">
        <f t="shared" si="791"/>
        <v>0</v>
      </c>
      <c r="AS210" s="127">
        <f t="shared" si="792"/>
        <v>0</v>
      </c>
      <c r="AT210" s="127">
        <f t="shared" si="793"/>
        <v>4.9000000000000004</v>
      </c>
      <c r="AU210" s="127">
        <f t="shared" si="794"/>
        <v>0</v>
      </c>
      <c r="AV210" s="127">
        <f t="shared" si="795"/>
        <v>5.03</v>
      </c>
      <c r="AW210" s="127">
        <f t="shared" si="796"/>
        <v>1.57</v>
      </c>
      <c r="AX210" s="127"/>
      <c r="AY210" s="127"/>
      <c r="AZ210" s="127">
        <f t="shared" si="870"/>
        <v>126.53</v>
      </c>
      <c r="BA210" s="127">
        <f t="shared" si="832"/>
        <v>12.2</v>
      </c>
      <c r="BB210" s="127">
        <f t="shared" si="872"/>
        <v>0</v>
      </c>
      <c r="BC210" s="127">
        <f t="shared" si="872"/>
        <v>0</v>
      </c>
      <c r="BD210" s="127">
        <f t="shared" si="871"/>
        <v>14.69</v>
      </c>
      <c r="BE210" s="127">
        <f t="shared" si="866"/>
        <v>0</v>
      </c>
      <c r="BF210" s="127">
        <f t="shared" si="866"/>
        <v>15.09</v>
      </c>
      <c r="BG210" s="127">
        <f t="shared" si="866"/>
        <v>3.41</v>
      </c>
      <c r="BH210" s="2"/>
      <c r="BI210" s="2"/>
      <c r="BJ210" s="2"/>
      <c r="BK210" s="2"/>
    </row>
    <row r="211" spans="1:66" s="6" customFormat="1" ht="20.100000000000001" customHeight="1" x14ac:dyDescent="0.3">
      <c r="A211" s="76"/>
      <c r="B211" s="85" t="s">
        <v>238</v>
      </c>
      <c r="C211" s="78">
        <f>+C209+C210</f>
        <v>455.39</v>
      </c>
      <c r="D211" s="78">
        <f t="shared" ref="D211:BN211" si="876">+D209+D210</f>
        <v>40.64</v>
      </c>
      <c r="E211" s="78" t="e">
        <f t="shared" si="876"/>
        <v>#REF!</v>
      </c>
      <c r="F211" s="78">
        <f t="shared" si="876"/>
        <v>0</v>
      </c>
      <c r="G211" s="78">
        <f t="shared" si="876"/>
        <v>0</v>
      </c>
      <c r="H211" s="78" t="e">
        <f t="shared" si="876"/>
        <v>#REF!</v>
      </c>
      <c r="I211" s="78">
        <f t="shared" si="876"/>
        <v>19.579999999999998</v>
      </c>
      <c r="J211" s="78">
        <f t="shared" si="876"/>
        <v>0</v>
      </c>
      <c r="K211" s="78">
        <f t="shared" si="876"/>
        <v>19.579999999999998</v>
      </c>
      <c r="L211" s="78">
        <f t="shared" si="876"/>
        <v>43.900000000000006</v>
      </c>
      <c r="M211" s="78">
        <f t="shared" si="876"/>
        <v>18.82</v>
      </c>
      <c r="N211" s="78">
        <f t="shared" si="876"/>
        <v>62.72</v>
      </c>
      <c r="O211" s="78">
        <f t="shared" si="876"/>
        <v>518.87</v>
      </c>
      <c r="P211" s="78">
        <f t="shared" si="876"/>
        <v>59.46</v>
      </c>
      <c r="Q211" s="78">
        <f t="shared" si="876"/>
        <v>578.33000000000004</v>
      </c>
      <c r="R211" s="78">
        <f t="shared" si="876"/>
        <v>113.85</v>
      </c>
      <c r="S211" s="78">
        <f t="shared" si="876"/>
        <v>6.1</v>
      </c>
      <c r="T211" s="78">
        <f t="shared" si="876"/>
        <v>0</v>
      </c>
      <c r="U211" s="78">
        <f t="shared" si="876"/>
        <v>0</v>
      </c>
      <c r="V211" s="78">
        <f t="shared" si="876"/>
        <v>4.9000000000000004</v>
      </c>
      <c r="W211" s="78">
        <f t="shared" si="876"/>
        <v>0</v>
      </c>
      <c r="X211" s="78">
        <f t="shared" si="876"/>
        <v>10.98</v>
      </c>
      <c r="Y211" s="114">
        <f t="shared" si="876"/>
        <v>2.83</v>
      </c>
      <c r="Z211" s="78">
        <f t="shared" si="876"/>
        <v>80.87</v>
      </c>
      <c r="AA211" s="78">
        <f t="shared" si="876"/>
        <v>2.46</v>
      </c>
      <c r="AB211" s="78">
        <f t="shared" si="876"/>
        <v>0</v>
      </c>
      <c r="AC211" s="78">
        <f t="shared" si="876"/>
        <v>0</v>
      </c>
      <c r="AD211" s="78">
        <f t="shared" si="876"/>
        <v>3.13</v>
      </c>
      <c r="AE211" s="78">
        <f t="shared" si="876"/>
        <v>0</v>
      </c>
      <c r="AF211" s="78">
        <f t="shared" si="876"/>
        <v>0</v>
      </c>
      <c r="AG211" s="78">
        <f t="shared" si="876"/>
        <v>0</v>
      </c>
      <c r="AH211" s="78">
        <f t="shared" si="876"/>
        <v>32.97</v>
      </c>
      <c r="AI211" s="78">
        <f t="shared" si="876"/>
        <v>4.79</v>
      </c>
      <c r="AJ211" s="78">
        <f t="shared" si="876"/>
        <v>0</v>
      </c>
      <c r="AK211" s="78">
        <f t="shared" si="876"/>
        <v>0</v>
      </c>
      <c r="AL211" s="78">
        <f t="shared" si="876"/>
        <v>1.76</v>
      </c>
      <c r="AM211" s="78">
        <f t="shared" si="876"/>
        <v>0</v>
      </c>
      <c r="AN211" s="78">
        <f t="shared" si="876"/>
        <v>10.98</v>
      </c>
      <c r="AO211" s="78">
        <f t="shared" si="876"/>
        <v>3.38</v>
      </c>
      <c r="AP211" s="78">
        <f t="shared" si="876"/>
        <v>113.85</v>
      </c>
      <c r="AQ211" s="78">
        <f t="shared" si="876"/>
        <v>11.44</v>
      </c>
      <c r="AR211" s="78">
        <f t="shared" si="876"/>
        <v>0</v>
      </c>
      <c r="AS211" s="78">
        <f t="shared" si="876"/>
        <v>0</v>
      </c>
      <c r="AT211" s="78">
        <f t="shared" si="876"/>
        <v>4.9000000000000004</v>
      </c>
      <c r="AU211" s="78">
        <f t="shared" si="876"/>
        <v>0</v>
      </c>
      <c r="AV211" s="78">
        <f t="shared" si="876"/>
        <v>10.98</v>
      </c>
      <c r="AW211" s="78">
        <f t="shared" si="876"/>
        <v>5.3</v>
      </c>
      <c r="AX211" s="78">
        <f t="shared" si="876"/>
        <v>0</v>
      </c>
      <c r="AY211" s="78">
        <f t="shared" si="876"/>
        <v>0</v>
      </c>
      <c r="AZ211" s="78">
        <f t="shared" si="876"/>
        <v>341.53999999999996</v>
      </c>
      <c r="BA211" s="78">
        <f t="shared" si="876"/>
        <v>24.79</v>
      </c>
      <c r="BB211" s="78">
        <f t="shared" si="876"/>
        <v>0</v>
      </c>
      <c r="BC211" s="78">
        <f t="shared" si="876"/>
        <v>0</v>
      </c>
      <c r="BD211" s="78">
        <f t="shared" si="876"/>
        <v>14.69</v>
      </c>
      <c r="BE211" s="78">
        <f t="shared" si="876"/>
        <v>0</v>
      </c>
      <c r="BF211" s="78">
        <f t="shared" si="876"/>
        <v>32.94</v>
      </c>
      <c r="BG211" s="78">
        <f t="shared" si="876"/>
        <v>11.51</v>
      </c>
      <c r="BH211" s="78"/>
      <c r="BI211" s="78"/>
      <c r="BJ211" s="78"/>
      <c r="BK211" s="78"/>
      <c r="BL211" s="78">
        <f t="shared" si="876"/>
        <v>0</v>
      </c>
      <c r="BM211" s="78">
        <f t="shared" si="876"/>
        <v>0</v>
      </c>
      <c r="BN211" s="78">
        <f t="shared" si="876"/>
        <v>0</v>
      </c>
    </row>
    <row r="212" spans="1:66" ht="20.100000000000001" customHeight="1" x14ac:dyDescent="0.3">
      <c r="A212" s="15">
        <v>20</v>
      </c>
      <c r="B212" s="24" t="s">
        <v>151</v>
      </c>
      <c r="C212" s="17">
        <v>207.56</v>
      </c>
      <c r="D212" s="17">
        <v>33.1</v>
      </c>
      <c r="E212" s="19" t="e">
        <f>C212+D212+#REF!+#REF!</f>
        <v>#REF!</v>
      </c>
      <c r="F212" s="17">
        <v>0</v>
      </c>
      <c r="G212" s="28">
        <v>0</v>
      </c>
      <c r="H212" s="19" t="e">
        <f>F212+G212+#REF!</f>
        <v>#REF!</v>
      </c>
      <c r="I212" s="17">
        <v>11.98</v>
      </c>
      <c r="J212" s="17">
        <v>5.99</v>
      </c>
      <c r="K212" s="19">
        <f t="shared" si="838"/>
        <v>17.97</v>
      </c>
      <c r="L212" s="28">
        <v>23.8</v>
      </c>
      <c r="M212" s="28">
        <v>10.42</v>
      </c>
      <c r="N212" s="19">
        <f t="shared" si="831"/>
        <v>34.22</v>
      </c>
      <c r="O212" s="19">
        <f t="shared" ref="O212:P214" si="877">C212+F212+I212+L212</f>
        <v>243.34</v>
      </c>
      <c r="P212" s="20">
        <f t="shared" si="877"/>
        <v>49.510000000000005</v>
      </c>
      <c r="Q212" s="19">
        <f t="shared" si="817"/>
        <v>292.85000000000002</v>
      </c>
      <c r="R212" s="17">
        <f t="shared" si="845"/>
        <v>51.89</v>
      </c>
      <c r="S212" s="17">
        <f t="shared" si="862"/>
        <v>4.97</v>
      </c>
      <c r="T212" s="17">
        <f t="shared" si="840"/>
        <v>0</v>
      </c>
      <c r="U212" s="17">
        <f t="shared" si="863"/>
        <v>0</v>
      </c>
      <c r="V212" s="17">
        <f t="shared" si="841"/>
        <v>3</v>
      </c>
      <c r="W212" s="17">
        <f t="shared" si="864"/>
        <v>0.9</v>
      </c>
      <c r="X212" s="17">
        <f t="shared" si="842"/>
        <v>5.95</v>
      </c>
      <c r="Y212" s="113">
        <f t="shared" si="865"/>
        <v>1.56</v>
      </c>
      <c r="Z212" s="127">
        <f t="shared" si="846"/>
        <v>36.86</v>
      </c>
      <c r="AA212" s="127">
        <f t="shared" si="847"/>
        <v>2.0099999999999998</v>
      </c>
      <c r="AB212" s="127">
        <f t="shared" si="848"/>
        <v>0</v>
      </c>
      <c r="AC212" s="127">
        <f t="shared" si="849"/>
        <v>0</v>
      </c>
      <c r="AD212" s="127">
        <f t="shared" si="850"/>
        <v>1.92</v>
      </c>
      <c r="AE212" s="127">
        <f t="shared" si="851"/>
        <v>0.3</v>
      </c>
      <c r="AF212" s="127">
        <v>0</v>
      </c>
      <c r="AG212" s="127">
        <v>0</v>
      </c>
      <c r="AH212" s="127">
        <f t="shared" si="856"/>
        <v>15.03</v>
      </c>
      <c r="AI212" s="127">
        <f t="shared" si="852"/>
        <v>3.9</v>
      </c>
      <c r="AJ212" s="127">
        <f t="shared" si="853"/>
        <v>0</v>
      </c>
      <c r="AK212" s="127">
        <f t="shared" si="854"/>
        <v>0</v>
      </c>
      <c r="AL212" s="127">
        <f t="shared" si="786"/>
        <v>1.08</v>
      </c>
      <c r="AM212" s="127">
        <f t="shared" si="855"/>
        <v>0.78</v>
      </c>
      <c r="AN212" s="127">
        <f t="shared" si="787"/>
        <v>5.95</v>
      </c>
      <c r="AO212" s="127">
        <f t="shared" si="788"/>
        <v>1.88</v>
      </c>
      <c r="AP212" s="127">
        <f t="shared" si="789"/>
        <v>51.89</v>
      </c>
      <c r="AQ212" s="127">
        <f t="shared" si="790"/>
        <v>9.32</v>
      </c>
      <c r="AR212" s="127">
        <f t="shared" si="791"/>
        <v>0</v>
      </c>
      <c r="AS212" s="127">
        <f t="shared" si="792"/>
        <v>0</v>
      </c>
      <c r="AT212" s="127">
        <f t="shared" si="793"/>
        <v>3</v>
      </c>
      <c r="AU212" s="127">
        <f t="shared" si="794"/>
        <v>1.69</v>
      </c>
      <c r="AV212" s="127">
        <f t="shared" si="795"/>
        <v>5.95</v>
      </c>
      <c r="AW212" s="127">
        <f t="shared" si="796"/>
        <v>2.93</v>
      </c>
      <c r="AX212" s="127"/>
      <c r="AY212" s="127"/>
      <c r="AZ212" s="127">
        <f t="shared" si="870"/>
        <v>155.67000000000002</v>
      </c>
      <c r="BA212" s="127">
        <f t="shared" si="832"/>
        <v>20.2</v>
      </c>
      <c r="BB212" s="127">
        <f t="shared" si="872"/>
        <v>0</v>
      </c>
      <c r="BC212" s="127">
        <f t="shared" si="872"/>
        <v>0</v>
      </c>
      <c r="BD212" s="127">
        <f t="shared" si="871"/>
        <v>9</v>
      </c>
      <c r="BE212" s="127">
        <f t="shared" si="866"/>
        <v>3.6699999999999995</v>
      </c>
      <c r="BF212" s="127">
        <f t="shared" si="866"/>
        <v>17.850000000000001</v>
      </c>
      <c r="BG212" s="127">
        <f t="shared" si="866"/>
        <v>6.370000000000001</v>
      </c>
      <c r="BH212" s="2"/>
      <c r="BI212" s="2"/>
      <c r="BJ212" s="2"/>
      <c r="BK212" s="2"/>
    </row>
    <row r="213" spans="1:66" ht="20.100000000000001" customHeight="1" x14ac:dyDescent="0.3">
      <c r="A213" s="15">
        <v>21</v>
      </c>
      <c r="B213" s="24" t="s">
        <v>152</v>
      </c>
      <c r="C213" s="17">
        <v>224.44</v>
      </c>
      <c r="D213" s="17">
        <v>50</v>
      </c>
      <c r="E213" s="19" t="e">
        <f>C213+D213+#REF!+#REF!</f>
        <v>#REF!</v>
      </c>
      <c r="F213" s="17">
        <v>0</v>
      </c>
      <c r="G213" s="28">
        <v>0</v>
      </c>
      <c r="H213" s="19" t="e">
        <f>F213+G213+#REF!</f>
        <v>#REF!</v>
      </c>
      <c r="I213" s="17">
        <v>0</v>
      </c>
      <c r="J213" s="17">
        <v>0</v>
      </c>
      <c r="K213" s="19">
        <f t="shared" si="838"/>
        <v>0</v>
      </c>
      <c r="L213" s="28">
        <v>16.690000000000001</v>
      </c>
      <c r="M213" s="28">
        <v>1.39</v>
      </c>
      <c r="N213" s="19">
        <f t="shared" si="831"/>
        <v>18.080000000000002</v>
      </c>
      <c r="O213" s="19">
        <f t="shared" si="877"/>
        <v>241.13</v>
      </c>
      <c r="P213" s="20">
        <f t="shared" si="877"/>
        <v>51.39</v>
      </c>
      <c r="Q213" s="19">
        <f t="shared" si="817"/>
        <v>292.52</v>
      </c>
      <c r="R213" s="17">
        <f t="shared" si="845"/>
        <v>56.11</v>
      </c>
      <c r="S213" s="17">
        <f t="shared" si="862"/>
        <v>7.5</v>
      </c>
      <c r="T213" s="17">
        <f t="shared" si="840"/>
        <v>0</v>
      </c>
      <c r="U213" s="17">
        <f t="shared" si="863"/>
        <v>0</v>
      </c>
      <c r="V213" s="17">
        <f t="shared" si="841"/>
        <v>0</v>
      </c>
      <c r="W213" s="17">
        <f t="shared" si="864"/>
        <v>0</v>
      </c>
      <c r="X213" s="17">
        <f t="shared" si="842"/>
        <v>4.17</v>
      </c>
      <c r="Y213" s="113">
        <f t="shared" si="865"/>
        <v>0.21</v>
      </c>
      <c r="Z213" s="127">
        <f t="shared" si="846"/>
        <v>39.86</v>
      </c>
      <c r="AA213" s="127">
        <f t="shared" si="847"/>
        <v>3.03</v>
      </c>
      <c r="AB213" s="127">
        <f t="shared" si="848"/>
        <v>0</v>
      </c>
      <c r="AC213" s="127">
        <f t="shared" si="849"/>
        <v>0</v>
      </c>
      <c r="AD213" s="127">
        <f t="shared" si="850"/>
        <v>0</v>
      </c>
      <c r="AE213" s="127">
        <f t="shared" si="851"/>
        <v>0</v>
      </c>
      <c r="AF213" s="127">
        <v>0</v>
      </c>
      <c r="AG213" s="127">
        <v>0</v>
      </c>
      <c r="AH213" s="127">
        <f t="shared" si="856"/>
        <v>16.25</v>
      </c>
      <c r="AI213" s="127">
        <f t="shared" si="852"/>
        <v>5.9</v>
      </c>
      <c r="AJ213" s="127">
        <f t="shared" si="853"/>
        <v>0</v>
      </c>
      <c r="AK213" s="127">
        <f t="shared" si="854"/>
        <v>0</v>
      </c>
      <c r="AL213" s="127">
        <f t="shared" si="786"/>
        <v>0</v>
      </c>
      <c r="AM213" s="127">
        <f t="shared" si="855"/>
        <v>0</v>
      </c>
      <c r="AN213" s="127">
        <f t="shared" si="787"/>
        <v>4.17</v>
      </c>
      <c r="AO213" s="127">
        <f t="shared" si="788"/>
        <v>0.25</v>
      </c>
      <c r="AP213" s="127">
        <f t="shared" si="789"/>
        <v>56.11</v>
      </c>
      <c r="AQ213" s="127">
        <f t="shared" si="790"/>
        <v>14.08</v>
      </c>
      <c r="AR213" s="127">
        <f t="shared" si="791"/>
        <v>0</v>
      </c>
      <c r="AS213" s="127">
        <f t="shared" si="792"/>
        <v>0</v>
      </c>
      <c r="AT213" s="127">
        <f t="shared" si="793"/>
        <v>0</v>
      </c>
      <c r="AU213" s="127">
        <f t="shared" si="794"/>
        <v>0</v>
      </c>
      <c r="AV213" s="127">
        <f t="shared" si="795"/>
        <v>4.17</v>
      </c>
      <c r="AW213" s="127">
        <f t="shared" si="796"/>
        <v>0.39</v>
      </c>
      <c r="AX213" s="127"/>
      <c r="AY213" s="127"/>
      <c r="AZ213" s="127">
        <f t="shared" si="870"/>
        <v>168.32999999999998</v>
      </c>
      <c r="BA213" s="127">
        <f t="shared" si="832"/>
        <v>30.51</v>
      </c>
      <c r="BB213" s="127">
        <f t="shared" si="872"/>
        <v>0</v>
      </c>
      <c r="BC213" s="127">
        <f t="shared" si="872"/>
        <v>0</v>
      </c>
      <c r="BD213" s="127">
        <f t="shared" si="871"/>
        <v>0</v>
      </c>
      <c r="BE213" s="127">
        <f t="shared" si="866"/>
        <v>0</v>
      </c>
      <c r="BF213" s="127">
        <f t="shared" si="866"/>
        <v>12.51</v>
      </c>
      <c r="BG213" s="127">
        <f t="shared" si="866"/>
        <v>0.85</v>
      </c>
      <c r="BH213" s="2"/>
      <c r="BI213" s="2"/>
      <c r="BJ213" s="2"/>
      <c r="BK213" s="2"/>
    </row>
    <row r="214" spans="1:66" ht="20.100000000000001" customHeight="1" x14ac:dyDescent="0.3">
      <c r="A214" s="15">
        <v>22</v>
      </c>
      <c r="B214" s="24" t="s">
        <v>153</v>
      </c>
      <c r="C214" s="17">
        <v>308.45</v>
      </c>
      <c r="D214" s="17">
        <v>59.79</v>
      </c>
      <c r="E214" s="19" t="e">
        <f>C214+D214+#REF!+#REF!</f>
        <v>#REF!</v>
      </c>
      <c r="F214" s="17">
        <v>0</v>
      </c>
      <c r="G214" s="28">
        <v>0</v>
      </c>
      <c r="H214" s="19" t="e">
        <f>F214+G214+#REF!</f>
        <v>#REF!</v>
      </c>
      <c r="I214" s="17">
        <v>0</v>
      </c>
      <c r="J214" s="17">
        <v>0</v>
      </c>
      <c r="K214" s="19">
        <f t="shared" si="838"/>
        <v>0</v>
      </c>
      <c r="L214" s="28">
        <v>29.75</v>
      </c>
      <c r="M214" s="28">
        <v>13.94</v>
      </c>
      <c r="N214" s="19">
        <f t="shared" si="831"/>
        <v>43.69</v>
      </c>
      <c r="O214" s="19">
        <f t="shared" si="877"/>
        <v>338.2</v>
      </c>
      <c r="P214" s="20">
        <f t="shared" si="877"/>
        <v>73.73</v>
      </c>
      <c r="Q214" s="19">
        <f t="shared" si="817"/>
        <v>411.93</v>
      </c>
      <c r="R214" s="17">
        <f t="shared" si="845"/>
        <v>77.11</v>
      </c>
      <c r="S214" s="17">
        <f t="shared" si="862"/>
        <v>8.9700000000000006</v>
      </c>
      <c r="T214" s="17">
        <f t="shared" si="840"/>
        <v>0</v>
      </c>
      <c r="U214" s="17">
        <f t="shared" si="863"/>
        <v>0</v>
      </c>
      <c r="V214" s="17">
        <f t="shared" si="841"/>
        <v>0</v>
      </c>
      <c r="W214" s="17">
        <f t="shared" si="864"/>
        <v>0</v>
      </c>
      <c r="X214" s="17">
        <f t="shared" si="842"/>
        <v>7.44</v>
      </c>
      <c r="Y214" s="113">
        <f t="shared" si="865"/>
        <v>2.09</v>
      </c>
      <c r="Z214" s="127">
        <f t="shared" si="846"/>
        <v>54.78</v>
      </c>
      <c r="AA214" s="127">
        <f t="shared" si="847"/>
        <v>3.62</v>
      </c>
      <c r="AB214" s="127">
        <f t="shared" si="848"/>
        <v>0</v>
      </c>
      <c r="AC214" s="127">
        <f t="shared" si="849"/>
        <v>0</v>
      </c>
      <c r="AD214" s="127">
        <f t="shared" si="850"/>
        <v>0</v>
      </c>
      <c r="AE214" s="127">
        <f t="shared" si="851"/>
        <v>0</v>
      </c>
      <c r="AF214" s="127">
        <v>0</v>
      </c>
      <c r="AG214" s="127">
        <v>0</v>
      </c>
      <c r="AH214" s="127">
        <f t="shared" si="856"/>
        <v>22.33</v>
      </c>
      <c r="AI214" s="127">
        <f t="shared" si="852"/>
        <v>7.05</v>
      </c>
      <c r="AJ214" s="127">
        <f t="shared" si="853"/>
        <v>0</v>
      </c>
      <c r="AK214" s="127">
        <f t="shared" si="854"/>
        <v>0</v>
      </c>
      <c r="AL214" s="127">
        <f t="shared" si="786"/>
        <v>0</v>
      </c>
      <c r="AM214" s="127">
        <f t="shared" si="855"/>
        <v>0</v>
      </c>
      <c r="AN214" s="127">
        <f t="shared" si="787"/>
        <v>7.44</v>
      </c>
      <c r="AO214" s="127">
        <f t="shared" si="788"/>
        <v>2.5099999999999998</v>
      </c>
      <c r="AP214" s="127">
        <f t="shared" si="789"/>
        <v>77.11</v>
      </c>
      <c r="AQ214" s="127">
        <f t="shared" si="790"/>
        <v>16.829999999999998</v>
      </c>
      <c r="AR214" s="127">
        <f t="shared" si="791"/>
        <v>0</v>
      </c>
      <c r="AS214" s="127">
        <f t="shared" si="792"/>
        <v>0</v>
      </c>
      <c r="AT214" s="127">
        <f t="shared" si="793"/>
        <v>0</v>
      </c>
      <c r="AU214" s="127">
        <f t="shared" si="794"/>
        <v>0</v>
      </c>
      <c r="AV214" s="127">
        <f t="shared" si="795"/>
        <v>7.44</v>
      </c>
      <c r="AW214" s="127">
        <f t="shared" si="796"/>
        <v>3.92</v>
      </c>
      <c r="AX214" s="127"/>
      <c r="AY214" s="127"/>
      <c r="AZ214" s="127">
        <f t="shared" si="870"/>
        <v>231.32999999999998</v>
      </c>
      <c r="BA214" s="127">
        <f t="shared" si="832"/>
        <v>36.47</v>
      </c>
      <c r="BB214" s="127">
        <f t="shared" si="872"/>
        <v>0</v>
      </c>
      <c r="BC214" s="127">
        <f t="shared" si="872"/>
        <v>0</v>
      </c>
      <c r="BD214" s="127">
        <f t="shared" si="871"/>
        <v>0</v>
      </c>
      <c r="BE214" s="127">
        <f t="shared" si="866"/>
        <v>0</v>
      </c>
      <c r="BF214" s="127">
        <f t="shared" si="866"/>
        <v>22.32</v>
      </c>
      <c r="BG214" s="127">
        <f t="shared" si="866"/>
        <v>8.52</v>
      </c>
      <c r="BH214" s="2"/>
      <c r="BI214" s="2"/>
      <c r="BJ214" s="2"/>
      <c r="BK214" s="2"/>
    </row>
    <row r="215" spans="1:66" s="6" customFormat="1" ht="20.100000000000001" customHeight="1" x14ac:dyDescent="0.3">
      <c r="A215" s="76"/>
      <c r="B215" s="85" t="s">
        <v>151</v>
      </c>
      <c r="C215" s="78">
        <f>+C212+C213+C214</f>
        <v>740.45</v>
      </c>
      <c r="D215" s="78">
        <f t="shared" ref="D215:BG215" si="878">+D212+D213+D214</f>
        <v>142.88999999999999</v>
      </c>
      <c r="E215" s="78" t="e">
        <f t="shared" si="878"/>
        <v>#REF!</v>
      </c>
      <c r="F215" s="78">
        <f t="shared" si="878"/>
        <v>0</v>
      </c>
      <c r="G215" s="78">
        <f t="shared" si="878"/>
        <v>0</v>
      </c>
      <c r="H215" s="78" t="e">
        <f t="shared" si="878"/>
        <v>#REF!</v>
      </c>
      <c r="I215" s="78">
        <f t="shared" si="878"/>
        <v>11.98</v>
      </c>
      <c r="J215" s="78">
        <f t="shared" si="878"/>
        <v>5.99</v>
      </c>
      <c r="K215" s="78">
        <f t="shared" si="878"/>
        <v>17.97</v>
      </c>
      <c r="L215" s="78">
        <f t="shared" si="878"/>
        <v>70.240000000000009</v>
      </c>
      <c r="M215" s="78">
        <f t="shared" si="878"/>
        <v>25.75</v>
      </c>
      <c r="N215" s="78">
        <f t="shared" si="878"/>
        <v>95.99</v>
      </c>
      <c r="O215" s="78">
        <f t="shared" si="878"/>
        <v>822.67000000000007</v>
      </c>
      <c r="P215" s="78">
        <f t="shared" si="878"/>
        <v>174.63</v>
      </c>
      <c r="Q215" s="78">
        <f t="shared" si="878"/>
        <v>997.3</v>
      </c>
      <c r="R215" s="78">
        <f t="shared" si="878"/>
        <v>185.11</v>
      </c>
      <c r="S215" s="78">
        <f t="shared" si="878"/>
        <v>21.439999999999998</v>
      </c>
      <c r="T215" s="78">
        <f t="shared" si="878"/>
        <v>0</v>
      </c>
      <c r="U215" s="78">
        <f t="shared" si="878"/>
        <v>0</v>
      </c>
      <c r="V215" s="78">
        <f t="shared" si="878"/>
        <v>3</v>
      </c>
      <c r="W215" s="78">
        <f t="shared" si="878"/>
        <v>0.9</v>
      </c>
      <c r="X215" s="78">
        <f t="shared" si="878"/>
        <v>17.560000000000002</v>
      </c>
      <c r="Y215" s="114">
        <f t="shared" si="878"/>
        <v>3.86</v>
      </c>
      <c r="Z215" s="78">
        <f t="shared" si="878"/>
        <v>131.5</v>
      </c>
      <c r="AA215" s="78">
        <f t="shared" si="878"/>
        <v>8.66</v>
      </c>
      <c r="AB215" s="78">
        <f t="shared" si="878"/>
        <v>0</v>
      </c>
      <c r="AC215" s="78">
        <f t="shared" si="878"/>
        <v>0</v>
      </c>
      <c r="AD215" s="78">
        <f t="shared" si="878"/>
        <v>1.92</v>
      </c>
      <c r="AE215" s="78">
        <f t="shared" si="878"/>
        <v>0.3</v>
      </c>
      <c r="AF215" s="78">
        <f t="shared" si="878"/>
        <v>0</v>
      </c>
      <c r="AG215" s="78">
        <f t="shared" si="878"/>
        <v>0</v>
      </c>
      <c r="AH215" s="78">
        <f t="shared" si="878"/>
        <v>53.61</v>
      </c>
      <c r="AI215" s="78">
        <f t="shared" si="878"/>
        <v>16.850000000000001</v>
      </c>
      <c r="AJ215" s="78">
        <f t="shared" si="878"/>
        <v>0</v>
      </c>
      <c r="AK215" s="78">
        <f t="shared" si="878"/>
        <v>0</v>
      </c>
      <c r="AL215" s="78">
        <f t="shared" si="878"/>
        <v>1.08</v>
      </c>
      <c r="AM215" s="78">
        <f t="shared" si="878"/>
        <v>0.78</v>
      </c>
      <c r="AN215" s="78">
        <f t="shared" si="878"/>
        <v>17.560000000000002</v>
      </c>
      <c r="AO215" s="78">
        <f t="shared" si="878"/>
        <v>4.6399999999999997</v>
      </c>
      <c r="AP215" s="78">
        <f t="shared" si="878"/>
        <v>185.11</v>
      </c>
      <c r="AQ215" s="78">
        <f t="shared" si="878"/>
        <v>40.229999999999997</v>
      </c>
      <c r="AR215" s="78">
        <f t="shared" si="878"/>
        <v>0</v>
      </c>
      <c r="AS215" s="78">
        <f t="shared" si="878"/>
        <v>0</v>
      </c>
      <c r="AT215" s="78">
        <f t="shared" si="878"/>
        <v>3</v>
      </c>
      <c r="AU215" s="78">
        <f t="shared" si="878"/>
        <v>1.69</v>
      </c>
      <c r="AV215" s="78">
        <f t="shared" si="878"/>
        <v>17.560000000000002</v>
      </c>
      <c r="AW215" s="78">
        <f t="shared" si="878"/>
        <v>7.24</v>
      </c>
      <c r="AX215" s="78">
        <f t="shared" si="878"/>
        <v>0</v>
      </c>
      <c r="AY215" s="78">
        <f t="shared" si="878"/>
        <v>0</v>
      </c>
      <c r="AZ215" s="78">
        <f t="shared" si="878"/>
        <v>555.32999999999993</v>
      </c>
      <c r="BA215" s="78">
        <f t="shared" si="878"/>
        <v>87.18</v>
      </c>
      <c r="BB215" s="78">
        <f t="shared" si="878"/>
        <v>0</v>
      </c>
      <c r="BC215" s="78">
        <f t="shared" si="878"/>
        <v>0</v>
      </c>
      <c r="BD215" s="78">
        <f t="shared" si="878"/>
        <v>9</v>
      </c>
      <c r="BE215" s="78">
        <f t="shared" si="878"/>
        <v>3.6699999999999995</v>
      </c>
      <c r="BF215" s="78">
        <f t="shared" si="878"/>
        <v>52.68</v>
      </c>
      <c r="BG215" s="78">
        <f t="shared" si="878"/>
        <v>15.74</v>
      </c>
      <c r="BH215" s="78"/>
      <c r="BI215" s="78"/>
      <c r="BJ215" s="78"/>
      <c r="BK215" s="78"/>
    </row>
    <row r="216" spans="1:66" ht="20.100000000000001" customHeight="1" x14ac:dyDescent="0.3">
      <c r="A216" s="15">
        <v>23</v>
      </c>
      <c r="B216" s="24" t="s">
        <v>230</v>
      </c>
      <c r="C216" s="17">
        <v>209.87</v>
      </c>
      <c r="D216" s="17">
        <v>225</v>
      </c>
      <c r="E216" s="19" t="e">
        <f>C216+D216+#REF!+#REF!</f>
        <v>#REF!</v>
      </c>
      <c r="F216" s="17">
        <v>0</v>
      </c>
      <c r="G216" s="28">
        <v>0</v>
      </c>
      <c r="H216" s="19">
        <v>0</v>
      </c>
      <c r="I216" s="17">
        <v>0</v>
      </c>
      <c r="J216" s="17">
        <v>0</v>
      </c>
      <c r="K216" s="19">
        <f t="shared" si="838"/>
        <v>0</v>
      </c>
      <c r="L216" s="28">
        <v>11.9</v>
      </c>
      <c r="M216" s="28">
        <v>86.75</v>
      </c>
      <c r="N216" s="19">
        <f t="shared" si="831"/>
        <v>98.65</v>
      </c>
      <c r="O216" s="19">
        <f t="shared" ref="O216:P218" si="879">C216+F216+I216+L216</f>
        <v>221.77</v>
      </c>
      <c r="P216" s="20">
        <f t="shared" si="879"/>
        <v>311.75</v>
      </c>
      <c r="Q216" s="19">
        <f t="shared" si="817"/>
        <v>533.52</v>
      </c>
      <c r="R216" s="17">
        <f t="shared" si="845"/>
        <v>52.47</v>
      </c>
      <c r="S216" s="17">
        <f t="shared" si="862"/>
        <v>33.75</v>
      </c>
      <c r="T216" s="17">
        <f t="shared" si="840"/>
        <v>0</v>
      </c>
      <c r="U216" s="17">
        <f t="shared" si="863"/>
        <v>0</v>
      </c>
      <c r="V216" s="17">
        <f t="shared" si="841"/>
        <v>0</v>
      </c>
      <c r="W216" s="17">
        <f t="shared" si="864"/>
        <v>0</v>
      </c>
      <c r="X216" s="17">
        <f t="shared" si="842"/>
        <v>2.98</v>
      </c>
      <c r="Y216" s="118">
        <f>ROUND(M216*0.15,2)-0.01</f>
        <v>13</v>
      </c>
      <c r="Z216" s="127">
        <f t="shared" si="846"/>
        <v>37.270000000000003</v>
      </c>
      <c r="AA216" s="127">
        <f t="shared" si="847"/>
        <v>13.64</v>
      </c>
      <c r="AB216" s="127">
        <f t="shared" si="848"/>
        <v>0</v>
      </c>
      <c r="AC216" s="127">
        <f t="shared" si="849"/>
        <v>0</v>
      </c>
      <c r="AD216" s="127">
        <f t="shared" si="850"/>
        <v>0</v>
      </c>
      <c r="AE216" s="127">
        <f t="shared" si="851"/>
        <v>0</v>
      </c>
      <c r="AF216" s="127">
        <v>0</v>
      </c>
      <c r="AG216" s="127">
        <v>0</v>
      </c>
      <c r="AH216" s="127">
        <f t="shared" si="856"/>
        <v>15.19</v>
      </c>
      <c r="AI216" s="127">
        <f>ROUND(D216*11.79%,2)-0.02</f>
        <v>26.51</v>
      </c>
      <c r="AJ216" s="127">
        <f t="shared" si="853"/>
        <v>0</v>
      </c>
      <c r="AK216" s="127">
        <f t="shared" si="854"/>
        <v>0</v>
      </c>
      <c r="AL216" s="127">
        <f t="shared" si="786"/>
        <v>0</v>
      </c>
      <c r="AM216" s="127">
        <f t="shared" si="855"/>
        <v>0</v>
      </c>
      <c r="AN216" s="127">
        <f t="shared" si="787"/>
        <v>2.98</v>
      </c>
      <c r="AO216" s="127">
        <f>ROUND(M216*18%,2)-0.2</f>
        <v>15.42</v>
      </c>
      <c r="AP216" s="127">
        <f t="shared" si="789"/>
        <v>52.47</v>
      </c>
      <c r="AQ216" s="127">
        <f>ROUND(D216*28.15%,2)-0.04</f>
        <v>63.300000000000004</v>
      </c>
      <c r="AR216" s="127">
        <f t="shared" si="791"/>
        <v>0</v>
      </c>
      <c r="AS216" s="127">
        <f t="shared" si="792"/>
        <v>0</v>
      </c>
      <c r="AT216" s="127">
        <f t="shared" si="793"/>
        <v>0</v>
      </c>
      <c r="AU216" s="127">
        <f t="shared" si="794"/>
        <v>0</v>
      </c>
      <c r="AV216" s="127">
        <f t="shared" si="795"/>
        <v>2.98</v>
      </c>
      <c r="AW216" s="127">
        <f t="shared" si="796"/>
        <v>24.42</v>
      </c>
      <c r="AX216" s="127"/>
      <c r="AY216" s="127"/>
      <c r="AZ216" s="127">
        <f t="shared" si="870"/>
        <v>157.4</v>
      </c>
      <c r="BA216" s="127">
        <f t="shared" si="832"/>
        <v>137.19999999999999</v>
      </c>
      <c r="BB216" s="127">
        <f t="shared" si="872"/>
        <v>0</v>
      </c>
      <c r="BC216" s="127">
        <f t="shared" si="872"/>
        <v>0</v>
      </c>
      <c r="BD216" s="127">
        <f t="shared" si="871"/>
        <v>0</v>
      </c>
      <c r="BE216" s="127">
        <f t="shared" si="866"/>
        <v>0</v>
      </c>
      <c r="BF216" s="127">
        <f t="shared" si="866"/>
        <v>8.94</v>
      </c>
      <c r="BG216" s="127">
        <f t="shared" si="866"/>
        <v>52.84</v>
      </c>
      <c r="BH216" s="2"/>
      <c r="BI216" s="2"/>
      <c r="BJ216" s="2"/>
      <c r="BK216" s="2"/>
    </row>
    <row r="217" spans="1:66" ht="20.100000000000001" customHeight="1" x14ac:dyDescent="0.3">
      <c r="A217" s="15">
        <v>24</v>
      </c>
      <c r="B217" s="24" t="s">
        <v>154</v>
      </c>
      <c r="C217" s="17">
        <v>389.71</v>
      </c>
      <c r="D217" s="17">
        <v>50</v>
      </c>
      <c r="E217" s="19" t="e">
        <f>C217+D217+#REF!+#REF!</f>
        <v>#REF!</v>
      </c>
      <c r="F217" s="17">
        <v>0</v>
      </c>
      <c r="G217" s="28">
        <v>0</v>
      </c>
      <c r="H217" s="19" t="e">
        <f>F217+G217+#REF!</f>
        <v>#REF!</v>
      </c>
      <c r="I217" s="17">
        <v>0</v>
      </c>
      <c r="J217" s="17">
        <v>0</v>
      </c>
      <c r="K217" s="19">
        <f t="shared" si="838"/>
        <v>0</v>
      </c>
      <c r="L217" s="28">
        <v>19.399999999999999</v>
      </c>
      <c r="M217" s="28">
        <v>8.26</v>
      </c>
      <c r="N217" s="19">
        <f t="shared" si="831"/>
        <v>27.659999999999997</v>
      </c>
      <c r="O217" s="19">
        <f t="shared" si="879"/>
        <v>409.10999999999996</v>
      </c>
      <c r="P217" s="20">
        <f t="shared" si="879"/>
        <v>58.26</v>
      </c>
      <c r="Q217" s="19">
        <f t="shared" si="817"/>
        <v>467.36999999999995</v>
      </c>
      <c r="R217" s="17">
        <f t="shared" si="845"/>
        <v>97.43</v>
      </c>
      <c r="S217" s="17">
        <f t="shared" si="862"/>
        <v>7.5</v>
      </c>
      <c r="T217" s="17">
        <f t="shared" si="840"/>
        <v>0</v>
      </c>
      <c r="U217" s="17">
        <f t="shared" si="863"/>
        <v>0</v>
      </c>
      <c r="V217" s="17">
        <f t="shared" si="841"/>
        <v>0</v>
      </c>
      <c r="W217" s="17">
        <f t="shared" si="864"/>
        <v>0</v>
      </c>
      <c r="X217" s="17">
        <f t="shared" si="842"/>
        <v>4.8499999999999996</v>
      </c>
      <c r="Y217" s="113">
        <f t="shared" si="865"/>
        <v>1.24</v>
      </c>
      <c r="Z217" s="127">
        <f t="shared" si="846"/>
        <v>69.209999999999994</v>
      </c>
      <c r="AA217" s="127">
        <f t="shared" si="847"/>
        <v>3.03</v>
      </c>
      <c r="AB217" s="127">
        <f t="shared" si="848"/>
        <v>0</v>
      </c>
      <c r="AC217" s="127">
        <f t="shared" si="849"/>
        <v>0</v>
      </c>
      <c r="AD217" s="127">
        <f t="shared" si="850"/>
        <v>0</v>
      </c>
      <c r="AE217" s="127">
        <f t="shared" si="851"/>
        <v>0</v>
      </c>
      <c r="AF217" s="127">
        <v>0</v>
      </c>
      <c r="AG217" s="127">
        <v>0</v>
      </c>
      <c r="AH217" s="127">
        <f t="shared" si="856"/>
        <v>28.22</v>
      </c>
      <c r="AI217" s="127">
        <f t="shared" si="852"/>
        <v>5.9</v>
      </c>
      <c r="AJ217" s="127">
        <f t="shared" si="853"/>
        <v>0</v>
      </c>
      <c r="AK217" s="127">
        <f t="shared" si="854"/>
        <v>0</v>
      </c>
      <c r="AL217" s="127">
        <f t="shared" si="786"/>
        <v>0</v>
      </c>
      <c r="AM217" s="127">
        <f t="shared" si="855"/>
        <v>0</v>
      </c>
      <c r="AN217" s="127">
        <f t="shared" si="787"/>
        <v>4.8499999999999996</v>
      </c>
      <c r="AO217" s="127">
        <f t="shared" si="788"/>
        <v>1.49</v>
      </c>
      <c r="AP217" s="127">
        <f t="shared" si="789"/>
        <v>97.43</v>
      </c>
      <c r="AQ217" s="127">
        <f t="shared" si="790"/>
        <v>14.08</v>
      </c>
      <c r="AR217" s="127">
        <f t="shared" si="791"/>
        <v>0</v>
      </c>
      <c r="AS217" s="127">
        <f t="shared" si="792"/>
        <v>0</v>
      </c>
      <c r="AT217" s="127">
        <f t="shared" si="793"/>
        <v>0</v>
      </c>
      <c r="AU217" s="127">
        <f t="shared" si="794"/>
        <v>0</v>
      </c>
      <c r="AV217" s="127">
        <f t="shared" si="795"/>
        <v>4.8499999999999996</v>
      </c>
      <c r="AW217" s="127">
        <f t="shared" si="796"/>
        <v>2.33</v>
      </c>
      <c r="AX217" s="127"/>
      <c r="AY217" s="127"/>
      <c r="AZ217" s="127">
        <f t="shared" si="870"/>
        <v>292.29000000000002</v>
      </c>
      <c r="BA217" s="127">
        <f t="shared" si="832"/>
        <v>30.51</v>
      </c>
      <c r="BB217" s="127">
        <f t="shared" si="872"/>
        <v>0</v>
      </c>
      <c r="BC217" s="127">
        <f t="shared" si="872"/>
        <v>0</v>
      </c>
      <c r="BD217" s="127">
        <f t="shared" si="871"/>
        <v>0</v>
      </c>
      <c r="BE217" s="127">
        <f t="shared" si="866"/>
        <v>0</v>
      </c>
      <c r="BF217" s="127">
        <f t="shared" si="866"/>
        <v>14.549999999999999</v>
      </c>
      <c r="BG217" s="127">
        <f t="shared" si="866"/>
        <v>5.0600000000000005</v>
      </c>
      <c r="BH217" s="2"/>
      <c r="BI217" s="2"/>
      <c r="BJ217" s="2"/>
      <c r="BK217" s="2"/>
    </row>
    <row r="218" spans="1:66" ht="20.100000000000001" customHeight="1" x14ac:dyDescent="0.3">
      <c r="A218" s="15">
        <v>25</v>
      </c>
      <c r="B218" s="24" t="s">
        <v>155</v>
      </c>
      <c r="C218" s="17">
        <v>147.55000000000001</v>
      </c>
      <c r="D218" s="17">
        <v>30</v>
      </c>
      <c r="E218" s="19" t="e">
        <f>C218+D218+#REF!+#REF!</f>
        <v>#REF!</v>
      </c>
      <c r="F218" s="17">
        <v>0</v>
      </c>
      <c r="G218" s="28">
        <v>0</v>
      </c>
      <c r="H218" s="19" t="e">
        <f>F218+G218+#REF!</f>
        <v>#REF!</v>
      </c>
      <c r="I218" s="17">
        <v>0</v>
      </c>
      <c r="J218" s="17">
        <v>0</v>
      </c>
      <c r="K218" s="19">
        <f t="shared" si="838"/>
        <v>0</v>
      </c>
      <c r="L218" s="28">
        <v>32.19</v>
      </c>
      <c r="M218" s="28">
        <v>1.24</v>
      </c>
      <c r="N218" s="19">
        <f t="shared" si="831"/>
        <v>33.43</v>
      </c>
      <c r="O218" s="19">
        <f t="shared" si="879"/>
        <v>179.74</v>
      </c>
      <c r="P218" s="20">
        <f t="shared" si="879"/>
        <v>31.24</v>
      </c>
      <c r="Q218" s="19">
        <f t="shared" si="817"/>
        <v>210.98000000000002</v>
      </c>
      <c r="R218" s="17">
        <f t="shared" si="845"/>
        <v>36.89</v>
      </c>
      <c r="S218" s="17">
        <f t="shared" si="862"/>
        <v>4.5</v>
      </c>
      <c r="T218" s="17">
        <f t="shared" si="840"/>
        <v>0</v>
      </c>
      <c r="U218" s="17">
        <f t="shared" si="863"/>
        <v>0</v>
      </c>
      <c r="V218" s="17">
        <f t="shared" si="841"/>
        <v>0</v>
      </c>
      <c r="W218" s="17">
        <f t="shared" si="864"/>
        <v>0</v>
      </c>
      <c r="X218" s="17">
        <f t="shared" si="842"/>
        <v>8.0500000000000007</v>
      </c>
      <c r="Y218" s="113">
        <f t="shared" si="865"/>
        <v>0.19</v>
      </c>
      <c r="Z218" s="127">
        <f t="shared" si="846"/>
        <v>26.2</v>
      </c>
      <c r="AA218" s="127">
        <f t="shared" si="847"/>
        <v>1.82</v>
      </c>
      <c r="AB218" s="127">
        <f t="shared" si="848"/>
        <v>0</v>
      </c>
      <c r="AC218" s="127">
        <f t="shared" si="849"/>
        <v>0</v>
      </c>
      <c r="AD218" s="127">
        <f t="shared" si="850"/>
        <v>0</v>
      </c>
      <c r="AE218" s="127">
        <f t="shared" si="851"/>
        <v>0</v>
      </c>
      <c r="AF218" s="127">
        <v>0</v>
      </c>
      <c r="AG218" s="127">
        <v>0</v>
      </c>
      <c r="AH218" s="127">
        <f t="shared" si="856"/>
        <v>10.68</v>
      </c>
      <c r="AI218" s="127">
        <f t="shared" si="852"/>
        <v>3.54</v>
      </c>
      <c r="AJ218" s="127">
        <f t="shared" si="853"/>
        <v>0</v>
      </c>
      <c r="AK218" s="127">
        <f t="shared" si="854"/>
        <v>0</v>
      </c>
      <c r="AL218" s="127">
        <f t="shared" si="786"/>
        <v>0</v>
      </c>
      <c r="AM218" s="127">
        <f t="shared" si="855"/>
        <v>0</v>
      </c>
      <c r="AN218" s="127">
        <f t="shared" si="787"/>
        <v>8.0500000000000007</v>
      </c>
      <c r="AO218" s="127">
        <f t="shared" si="788"/>
        <v>0.22</v>
      </c>
      <c r="AP218" s="127">
        <f t="shared" si="789"/>
        <v>36.89</v>
      </c>
      <c r="AQ218" s="127">
        <f t="shared" si="790"/>
        <v>8.4499999999999993</v>
      </c>
      <c r="AR218" s="127">
        <f t="shared" si="791"/>
        <v>0</v>
      </c>
      <c r="AS218" s="127">
        <f t="shared" si="792"/>
        <v>0</v>
      </c>
      <c r="AT218" s="127">
        <f t="shared" si="793"/>
        <v>0</v>
      </c>
      <c r="AU218" s="127">
        <f t="shared" si="794"/>
        <v>0</v>
      </c>
      <c r="AV218" s="127">
        <f t="shared" si="795"/>
        <v>8.0500000000000007</v>
      </c>
      <c r="AW218" s="127">
        <f t="shared" si="796"/>
        <v>0.35</v>
      </c>
      <c r="AX218" s="127"/>
      <c r="AY218" s="127"/>
      <c r="AZ218" s="127">
        <f t="shared" si="870"/>
        <v>110.66</v>
      </c>
      <c r="BA218" s="127">
        <f t="shared" si="832"/>
        <v>18.309999999999999</v>
      </c>
      <c r="BB218" s="127">
        <f t="shared" si="872"/>
        <v>0</v>
      </c>
      <c r="BC218" s="127">
        <f t="shared" si="872"/>
        <v>0</v>
      </c>
      <c r="BD218" s="127">
        <f t="shared" si="871"/>
        <v>0</v>
      </c>
      <c r="BE218" s="127">
        <f t="shared" si="866"/>
        <v>0</v>
      </c>
      <c r="BF218" s="127">
        <f t="shared" si="866"/>
        <v>24.150000000000002</v>
      </c>
      <c r="BG218" s="127">
        <f t="shared" si="866"/>
        <v>0.76</v>
      </c>
      <c r="BH218" s="2"/>
      <c r="BI218" s="2"/>
      <c r="BJ218" s="2"/>
      <c r="BK218" s="2"/>
    </row>
    <row r="219" spans="1:66" s="6" customFormat="1" ht="20.100000000000001" customHeight="1" x14ac:dyDescent="0.3">
      <c r="A219" s="76"/>
      <c r="B219" s="85" t="s">
        <v>154</v>
      </c>
      <c r="C219" s="78">
        <f>+C217+C218</f>
        <v>537.26</v>
      </c>
      <c r="D219" s="78">
        <f t="shared" ref="D219:I219" si="880">+D217+D218</f>
        <v>80</v>
      </c>
      <c r="E219" s="78" t="e">
        <f t="shared" si="880"/>
        <v>#REF!</v>
      </c>
      <c r="F219" s="78">
        <f t="shared" si="880"/>
        <v>0</v>
      </c>
      <c r="G219" s="78">
        <f t="shared" si="880"/>
        <v>0</v>
      </c>
      <c r="H219" s="78" t="e">
        <f t="shared" si="880"/>
        <v>#REF!</v>
      </c>
      <c r="I219" s="78">
        <f t="shared" si="880"/>
        <v>0</v>
      </c>
      <c r="J219" s="78">
        <f t="shared" ref="J219" si="881">+J217+J218</f>
        <v>0</v>
      </c>
      <c r="K219" s="78">
        <f t="shared" ref="K219" si="882">+K217+K218</f>
        <v>0</v>
      </c>
      <c r="L219" s="78">
        <f t="shared" ref="L219" si="883">+L217+L218</f>
        <v>51.589999999999996</v>
      </c>
      <c r="M219" s="78">
        <f t="shared" ref="M219:BG219" si="884">+M217+M218</f>
        <v>9.5</v>
      </c>
      <c r="N219" s="78">
        <f t="shared" si="884"/>
        <v>61.089999999999996</v>
      </c>
      <c r="O219" s="78">
        <f t="shared" si="884"/>
        <v>588.84999999999991</v>
      </c>
      <c r="P219" s="78">
        <f t="shared" si="884"/>
        <v>89.5</v>
      </c>
      <c r="Q219" s="78">
        <f t="shared" si="884"/>
        <v>678.34999999999991</v>
      </c>
      <c r="R219" s="78">
        <f t="shared" si="884"/>
        <v>134.32</v>
      </c>
      <c r="S219" s="78">
        <f t="shared" si="884"/>
        <v>12</v>
      </c>
      <c r="T219" s="78">
        <f t="shared" si="884"/>
        <v>0</v>
      </c>
      <c r="U219" s="78">
        <f t="shared" si="884"/>
        <v>0</v>
      </c>
      <c r="V219" s="78">
        <f t="shared" si="884"/>
        <v>0</v>
      </c>
      <c r="W219" s="78">
        <f t="shared" si="884"/>
        <v>0</v>
      </c>
      <c r="X219" s="78">
        <f t="shared" si="884"/>
        <v>12.9</v>
      </c>
      <c r="Y219" s="114">
        <f t="shared" si="884"/>
        <v>1.43</v>
      </c>
      <c r="Z219" s="78">
        <f t="shared" si="884"/>
        <v>95.41</v>
      </c>
      <c r="AA219" s="78">
        <f t="shared" si="884"/>
        <v>4.8499999999999996</v>
      </c>
      <c r="AB219" s="78">
        <f t="shared" si="884"/>
        <v>0</v>
      </c>
      <c r="AC219" s="78">
        <f t="shared" si="884"/>
        <v>0</v>
      </c>
      <c r="AD219" s="78">
        <f t="shared" si="884"/>
        <v>0</v>
      </c>
      <c r="AE219" s="78">
        <f t="shared" si="884"/>
        <v>0</v>
      </c>
      <c r="AF219" s="78">
        <f t="shared" si="884"/>
        <v>0</v>
      </c>
      <c r="AG219" s="78">
        <f t="shared" si="884"/>
        <v>0</v>
      </c>
      <c r="AH219" s="78">
        <f t="shared" si="884"/>
        <v>38.9</v>
      </c>
      <c r="AI219" s="78">
        <f t="shared" si="884"/>
        <v>9.4400000000000013</v>
      </c>
      <c r="AJ219" s="78">
        <f t="shared" si="884"/>
        <v>0</v>
      </c>
      <c r="AK219" s="78">
        <f t="shared" si="884"/>
        <v>0</v>
      </c>
      <c r="AL219" s="78">
        <f t="shared" si="884"/>
        <v>0</v>
      </c>
      <c r="AM219" s="78">
        <f t="shared" si="884"/>
        <v>0</v>
      </c>
      <c r="AN219" s="78">
        <f t="shared" si="884"/>
        <v>12.9</v>
      </c>
      <c r="AO219" s="78">
        <f t="shared" si="884"/>
        <v>1.71</v>
      </c>
      <c r="AP219" s="78">
        <f t="shared" si="884"/>
        <v>134.32</v>
      </c>
      <c r="AQ219" s="78">
        <f t="shared" si="884"/>
        <v>22.53</v>
      </c>
      <c r="AR219" s="78">
        <f t="shared" si="884"/>
        <v>0</v>
      </c>
      <c r="AS219" s="78">
        <f t="shared" si="884"/>
        <v>0</v>
      </c>
      <c r="AT219" s="78">
        <f t="shared" si="884"/>
        <v>0</v>
      </c>
      <c r="AU219" s="78">
        <f t="shared" si="884"/>
        <v>0</v>
      </c>
      <c r="AV219" s="78">
        <f t="shared" si="884"/>
        <v>12.9</v>
      </c>
      <c r="AW219" s="78">
        <f t="shared" si="884"/>
        <v>2.68</v>
      </c>
      <c r="AX219" s="78">
        <f t="shared" si="884"/>
        <v>0</v>
      </c>
      <c r="AY219" s="78">
        <f t="shared" si="884"/>
        <v>0</v>
      </c>
      <c r="AZ219" s="78">
        <f t="shared" si="884"/>
        <v>402.95000000000005</v>
      </c>
      <c r="BA219" s="78">
        <f t="shared" si="884"/>
        <v>48.82</v>
      </c>
      <c r="BB219" s="78">
        <f t="shared" si="884"/>
        <v>0</v>
      </c>
      <c r="BC219" s="78">
        <f t="shared" si="884"/>
        <v>0</v>
      </c>
      <c r="BD219" s="78">
        <f t="shared" si="884"/>
        <v>0</v>
      </c>
      <c r="BE219" s="78">
        <f t="shared" si="884"/>
        <v>0</v>
      </c>
      <c r="BF219" s="78">
        <f t="shared" si="884"/>
        <v>38.700000000000003</v>
      </c>
      <c r="BG219" s="78">
        <f t="shared" si="884"/>
        <v>5.82</v>
      </c>
      <c r="BH219" s="78"/>
      <c r="BI219" s="78"/>
      <c r="BJ219" s="78"/>
      <c r="BK219" s="78"/>
      <c r="BL219" s="78">
        <f t="shared" ref="BL219:BN219" si="885">+BL217+BL218</f>
        <v>0</v>
      </c>
      <c r="BM219" s="78">
        <f t="shared" si="885"/>
        <v>0</v>
      </c>
      <c r="BN219" s="78">
        <f t="shared" si="885"/>
        <v>0</v>
      </c>
    </row>
    <row r="220" spans="1:66" ht="20.100000000000001" customHeight="1" x14ac:dyDescent="0.3">
      <c r="A220" s="15">
        <v>26</v>
      </c>
      <c r="B220" s="24" t="s">
        <v>156</v>
      </c>
      <c r="C220" s="17">
        <v>289.88</v>
      </c>
      <c r="D220" s="17">
        <v>30.96</v>
      </c>
      <c r="E220" s="19" t="e">
        <f>C220+D220+#REF!+#REF!</f>
        <v>#REF!</v>
      </c>
      <c r="F220" s="17">
        <v>0</v>
      </c>
      <c r="G220" s="28">
        <v>0</v>
      </c>
      <c r="H220" s="19" t="e">
        <f>F220+G220+#REF!</f>
        <v>#REF!</v>
      </c>
      <c r="I220" s="17">
        <v>0</v>
      </c>
      <c r="J220" s="17">
        <v>0</v>
      </c>
      <c r="K220" s="19">
        <f t="shared" si="838"/>
        <v>0</v>
      </c>
      <c r="L220" s="28">
        <v>41.65</v>
      </c>
      <c r="M220" s="28">
        <v>8.64</v>
      </c>
      <c r="N220" s="19">
        <f t="shared" si="831"/>
        <v>50.29</v>
      </c>
      <c r="O220" s="19">
        <f t="shared" ref="O220:P222" si="886">C220+F220+I220+L220</f>
        <v>331.53</v>
      </c>
      <c r="P220" s="20">
        <f t="shared" si="886"/>
        <v>39.6</v>
      </c>
      <c r="Q220" s="19">
        <f t="shared" si="817"/>
        <v>371.13</v>
      </c>
      <c r="R220" s="17">
        <f t="shared" si="845"/>
        <v>72.47</v>
      </c>
      <c r="S220" s="17">
        <f t="shared" si="862"/>
        <v>4.6399999999999997</v>
      </c>
      <c r="T220" s="17">
        <f t="shared" si="840"/>
        <v>0</v>
      </c>
      <c r="U220" s="17">
        <f t="shared" si="863"/>
        <v>0</v>
      </c>
      <c r="V220" s="17">
        <f t="shared" si="841"/>
        <v>0</v>
      </c>
      <c r="W220" s="17">
        <f t="shared" si="864"/>
        <v>0</v>
      </c>
      <c r="X220" s="17">
        <f t="shared" si="842"/>
        <v>10.41</v>
      </c>
      <c r="Y220" s="113">
        <f t="shared" si="865"/>
        <v>1.3</v>
      </c>
      <c r="Z220" s="127">
        <f t="shared" si="846"/>
        <v>51.48</v>
      </c>
      <c r="AA220" s="127">
        <f t="shared" si="847"/>
        <v>1.88</v>
      </c>
      <c r="AB220" s="127">
        <f t="shared" si="848"/>
        <v>0</v>
      </c>
      <c r="AC220" s="127">
        <f t="shared" si="849"/>
        <v>0</v>
      </c>
      <c r="AD220" s="127">
        <f t="shared" si="850"/>
        <v>0</v>
      </c>
      <c r="AE220" s="127">
        <f t="shared" si="851"/>
        <v>0</v>
      </c>
      <c r="AF220" s="127">
        <v>0</v>
      </c>
      <c r="AG220" s="127">
        <v>0</v>
      </c>
      <c r="AH220" s="127">
        <f t="shared" si="856"/>
        <v>20.99</v>
      </c>
      <c r="AI220" s="127">
        <f t="shared" si="852"/>
        <v>3.65</v>
      </c>
      <c r="AJ220" s="127">
        <f t="shared" si="853"/>
        <v>0</v>
      </c>
      <c r="AK220" s="127">
        <f t="shared" si="854"/>
        <v>0</v>
      </c>
      <c r="AL220" s="127">
        <f t="shared" si="786"/>
        <v>0</v>
      </c>
      <c r="AM220" s="127">
        <f t="shared" si="855"/>
        <v>0</v>
      </c>
      <c r="AN220" s="127">
        <f t="shared" si="787"/>
        <v>10.41</v>
      </c>
      <c r="AO220" s="127">
        <f t="shared" si="788"/>
        <v>1.56</v>
      </c>
      <c r="AP220" s="127">
        <f t="shared" si="789"/>
        <v>72.47</v>
      </c>
      <c r="AQ220" s="127">
        <f t="shared" si="790"/>
        <v>8.7200000000000006</v>
      </c>
      <c r="AR220" s="127">
        <f t="shared" si="791"/>
        <v>0</v>
      </c>
      <c r="AS220" s="127">
        <f t="shared" si="792"/>
        <v>0</v>
      </c>
      <c r="AT220" s="127">
        <f t="shared" si="793"/>
        <v>0</v>
      </c>
      <c r="AU220" s="127">
        <f t="shared" si="794"/>
        <v>0</v>
      </c>
      <c r="AV220" s="127">
        <f>ROUND(L220*25%,2)-0.02</f>
        <v>10.39</v>
      </c>
      <c r="AW220" s="127">
        <f t="shared" si="796"/>
        <v>2.4300000000000002</v>
      </c>
      <c r="AX220" s="127"/>
      <c r="AY220" s="127"/>
      <c r="AZ220" s="127">
        <f t="shared" si="870"/>
        <v>217.41</v>
      </c>
      <c r="BA220" s="127">
        <f t="shared" si="832"/>
        <v>18.89</v>
      </c>
      <c r="BB220" s="127">
        <f t="shared" si="872"/>
        <v>0</v>
      </c>
      <c r="BC220" s="127">
        <f t="shared" si="872"/>
        <v>0</v>
      </c>
      <c r="BD220" s="127">
        <f t="shared" si="871"/>
        <v>0</v>
      </c>
      <c r="BE220" s="127">
        <f t="shared" si="866"/>
        <v>0</v>
      </c>
      <c r="BF220" s="127">
        <f t="shared" si="866"/>
        <v>31.21</v>
      </c>
      <c r="BG220" s="127">
        <f t="shared" si="866"/>
        <v>5.29</v>
      </c>
      <c r="BH220" s="2"/>
      <c r="BI220" s="2"/>
      <c r="BJ220" s="2"/>
      <c r="BK220" s="2"/>
    </row>
    <row r="221" spans="1:66" ht="20.100000000000001" customHeight="1" x14ac:dyDescent="0.3">
      <c r="A221" s="15">
        <v>27</v>
      </c>
      <c r="B221" s="24" t="s">
        <v>157</v>
      </c>
      <c r="C221" s="17">
        <v>490.92</v>
      </c>
      <c r="D221" s="17">
        <v>55.67</v>
      </c>
      <c r="E221" s="19" t="e">
        <f>C221+D221+#REF!+#REF!</f>
        <v>#REF!</v>
      </c>
      <c r="F221" s="17">
        <v>29.25</v>
      </c>
      <c r="G221" s="28">
        <v>50.76</v>
      </c>
      <c r="H221" s="19" t="e">
        <f>F221+G221+#REF!</f>
        <v>#REF!</v>
      </c>
      <c r="I221" s="17">
        <v>41.81</v>
      </c>
      <c r="J221" s="17">
        <v>11.98</v>
      </c>
      <c r="K221" s="19">
        <f t="shared" si="838"/>
        <v>53.790000000000006</v>
      </c>
      <c r="L221" s="28">
        <v>82.25</v>
      </c>
      <c r="M221" s="28">
        <v>14.96</v>
      </c>
      <c r="N221" s="19">
        <f t="shared" si="831"/>
        <v>97.210000000000008</v>
      </c>
      <c r="O221" s="19">
        <f t="shared" si="886"/>
        <v>644.23</v>
      </c>
      <c r="P221" s="20">
        <f t="shared" si="886"/>
        <v>133.37</v>
      </c>
      <c r="Q221" s="19">
        <f t="shared" si="817"/>
        <v>777.6</v>
      </c>
      <c r="R221" s="17">
        <f t="shared" si="845"/>
        <v>122.73</v>
      </c>
      <c r="S221" s="17">
        <f t="shared" si="862"/>
        <v>8.35</v>
      </c>
      <c r="T221" s="17">
        <f t="shared" si="840"/>
        <v>7.31</v>
      </c>
      <c r="U221" s="17">
        <f t="shared" si="863"/>
        <v>7.61</v>
      </c>
      <c r="V221" s="17">
        <f t="shared" si="841"/>
        <v>10.45</v>
      </c>
      <c r="W221" s="17">
        <f t="shared" si="864"/>
        <v>1.8</v>
      </c>
      <c r="X221" s="17">
        <f t="shared" si="842"/>
        <v>20.56</v>
      </c>
      <c r="Y221" s="113">
        <f t="shared" si="865"/>
        <v>2.2400000000000002</v>
      </c>
      <c r="Z221" s="127">
        <f t="shared" si="846"/>
        <v>87.19</v>
      </c>
      <c r="AA221" s="127">
        <f t="shared" si="847"/>
        <v>3.37</v>
      </c>
      <c r="AB221" s="127">
        <f t="shared" si="848"/>
        <v>4.68</v>
      </c>
      <c r="AC221" s="127">
        <f>ROUND(G221*5.08%,2)+0.02</f>
        <v>2.6</v>
      </c>
      <c r="AD221" s="127">
        <f t="shared" si="850"/>
        <v>6.69</v>
      </c>
      <c r="AE221" s="127">
        <f t="shared" si="851"/>
        <v>0.61</v>
      </c>
      <c r="AF221" s="127">
        <v>0</v>
      </c>
      <c r="AG221" s="127">
        <v>0</v>
      </c>
      <c r="AH221" s="127">
        <f t="shared" si="856"/>
        <v>35.54</v>
      </c>
      <c r="AI221" s="127">
        <f t="shared" si="852"/>
        <v>6.56</v>
      </c>
      <c r="AJ221" s="127">
        <f t="shared" si="853"/>
        <v>2.63</v>
      </c>
      <c r="AK221" s="127">
        <f t="shared" si="854"/>
        <v>6.48</v>
      </c>
      <c r="AL221" s="127">
        <f>ROUND(I221*9%,2)+0.01</f>
        <v>3.7699999999999996</v>
      </c>
      <c r="AM221" s="127">
        <f t="shared" si="855"/>
        <v>1.56</v>
      </c>
      <c r="AN221" s="127">
        <f t="shared" ref="AN221:AN282" si="887">ROUND(L221*25%,2)</f>
        <v>20.56</v>
      </c>
      <c r="AO221" s="127">
        <f t="shared" ref="AO221:AO282" si="888">ROUND(M221*18%,2)</f>
        <v>2.69</v>
      </c>
      <c r="AP221" s="127">
        <f t="shared" ref="AP221:AP282" si="889">ROUND(C221*25%,2)</f>
        <v>122.73</v>
      </c>
      <c r="AQ221" s="127">
        <f t="shared" ref="AQ221:AQ282" si="890">ROUND(D221*28.15%,2)</f>
        <v>15.67</v>
      </c>
      <c r="AR221" s="127">
        <f t="shared" ref="AR221:AR274" si="891">ROUND(F221*25%,2)</f>
        <v>7.31</v>
      </c>
      <c r="AS221" s="127">
        <f t="shared" ref="AS221:AS274" si="892">ROUND(G221*28.15%,2)</f>
        <v>14.29</v>
      </c>
      <c r="AT221" s="127">
        <f t="shared" ref="AT221:AT282" si="893">ROUND(I221*25%,2)</f>
        <v>10.45</v>
      </c>
      <c r="AU221" s="127">
        <f t="shared" ref="AU221:AU282" si="894">ROUND(J221*28.15%,2)</f>
        <v>3.37</v>
      </c>
      <c r="AV221" s="127">
        <f t="shared" ref="AV221:AV282" si="895">ROUND(L221*25%,2)</f>
        <v>20.56</v>
      </c>
      <c r="AW221" s="127">
        <f t="shared" ref="AW221:AW282" si="896">ROUND(M221*28.15%,2)</f>
        <v>4.21</v>
      </c>
      <c r="AX221" s="127"/>
      <c r="AY221" s="127"/>
      <c r="AZ221" s="127">
        <f t="shared" si="870"/>
        <v>368.19</v>
      </c>
      <c r="BA221" s="127">
        <f t="shared" si="832"/>
        <v>33.950000000000003</v>
      </c>
      <c r="BB221" s="127">
        <f t="shared" si="872"/>
        <v>21.93</v>
      </c>
      <c r="BC221" s="127">
        <f t="shared" si="872"/>
        <v>30.98</v>
      </c>
      <c r="BD221" s="127">
        <f t="shared" si="871"/>
        <v>31.36</v>
      </c>
      <c r="BE221" s="127">
        <f t="shared" si="866"/>
        <v>7.34</v>
      </c>
      <c r="BF221" s="127">
        <f t="shared" si="866"/>
        <v>61.679999999999993</v>
      </c>
      <c r="BG221" s="127">
        <f t="shared" si="866"/>
        <v>9.14</v>
      </c>
      <c r="BH221" s="2"/>
      <c r="BI221" s="2"/>
      <c r="BJ221" s="2"/>
      <c r="BK221" s="2"/>
    </row>
    <row r="222" spans="1:66" ht="20.100000000000001" customHeight="1" x14ac:dyDescent="0.3">
      <c r="A222" s="15">
        <v>28</v>
      </c>
      <c r="B222" s="24" t="s">
        <v>158</v>
      </c>
      <c r="C222" s="17">
        <v>167.76</v>
      </c>
      <c r="D222" s="17">
        <v>10</v>
      </c>
      <c r="E222" s="19" t="e">
        <f>C222+D222+#REF!+#REF!</f>
        <v>#REF!</v>
      </c>
      <c r="F222" s="17">
        <v>35.08</v>
      </c>
      <c r="G222" s="28">
        <v>0</v>
      </c>
      <c r="H222" s="19" t="e">
        <f>F222+G222+#REF!</f>
        <v>#REF!</v>
      </c>
      <c r="I222" s="17">
        <v>0</v>
      </c>
      <c r="J222" s="17">
        <v>0</v>
      </c>
      <c r="K222" s="19">
        <f t="shared" si="838"/>
        <v>0</v>
      </c>
      <c r="L222" s="28">
        <v>63.63</v>
      </c>
      <c r="M222" s="28">
        <v>12.53</v>
      </c>
      <c r="N222" s="19">
        <f t="shared" si="831"/>
        <v>76.16</v>
      </c>
      <c r="O222" s="19">
        <f t="shared" si="886"/>
        <v>266.46999999999997</v>
      </c>
      <c r="P222" s="20">
        <f t="shared" si="886"/>
        <v>22.53</v>
      </c>
      <c r="Q222" s="19">
        <f t="shared" si="817"/>
        <v>289</v>
      </c>
      <c r="R222" s="17">
        <f t="shared" si="845"/>
        <v>41.94</v>
      </c>
      <c r="S222" s="17">
        <f t="shared" si="862"/>
        <v>1.5</v>
      </c>
      <c r="T222" s="17">
        <f t="shared" si="840"/>
        <v>8.77</v>
      </c>
      <c r="U222" s="17">
        <f t="shared" si="863"/>
        <v>0</v>
      </c>
      <c r="V222" s="17">
        <f t="shared" si="841"/>
        <v>0</v>
      </c>
      <c r="W222" s="17">
        <f t="shared" si="864"/>
        <v>0</v>
      </c>
      <c r="X222" s="75">
        <f>ROUND(L222*0.25,2)-0.01</f>
        <v>15.9</v>
      </c>
      <c r="Y222" s="118">
        <f>ROUND(M222*0.15,2)-0.01</f>
        <v>1.8699999999999999</v>
      </c>
      <c r="Z222" s="127">
        <f t="shared" si="846"/>
        <v>29.79</v>
      </c>
      <c r="AA222" s="127">
        <f t="shared" si="847"/>
        <v>0.61</v>
      </c>
      <c r="AB222" s="127">
        <f t="shared" si="848"/>
        <v>5.61</v>
      </c>
      <c r="AC222" s="127">
        <f t="shared" si="849"/>
        <v>0</v>
      </c>
      <c r="AD222" s="127">
        <f t="shared" si="850"/>
        <v>0</v>
      </c>
      <c r="AE222" s="127">
        <f t="shared" si="851"/>
        <v>0</v>
      </c>
      <c r="AF222" s="127">
        <v>0</v>
      </c>
      <c r="AG222" s="127">
        <v>0</v>
      </c>
      <c r="AH222" s="127">
        <f t="shared" si="856"/>
        <v>12.15</v>
      </c>
      <c r="AI222" s="127">
        <f t="shared" si="852"/>
        <v>1.18</v>
      </c>
      <c r="AJ222" s="127">
        <f t="shared" si="853"/>
        <v>3.16</v>
      </c>
      <c r="AK222" s="127">
        <f t="shared" si="854"/>
        <v>0</v>
      </c>
      <c r="AL222" s="127">
        <f t="shared" ref="AL222:AL241" si="897">ROUND(I222*9%,2)</f>
        <v>0</v>
      </c>
      <c r="AM222" s="127">
        <f t="shared" si="855"/>
        <v>0</v>
      </c>
      <c r="AN222" s="127">
        <f t="shared" si="887"/>
        <v>15.91</v>
      </c>
      <c r="AO222" s="127">
        <f t="shared" si="888"/>
        <v>2.2599999999999998</v>
      </c>
      <c r="AP222" s="127">
        <f t="shared" si="889"/>
        <v>41.94</v>
      </c>
      <c r="AQ222" s="127">
        <f t="shared" si="890"/>
        <v>2.82</v>
      </c>
      <c r="AR222" s="127">
        <f t="shared" si="891"/>
        <v>8.77</v>
      </c>
      <c r="AS222" s="127">
        <f t="shared" si="892"/>
        <v>0</v>
      </c>
      <c r="AT222" s="127">
        <f t="shared" si="893"/>
        <v>0</v>
      </c>
      <c r="AU222" s="127">
        <f t="shared" si="894"/>
        <v>0</v>
      </c>
      <c r="AV222" s="127">
        <f t="shared" si="895"/>
        <v>15.91</v>
      </c>
      <c r="AW222" s="127">
        <f t="shared" si="896"/>
        <v>3.53</v>
      </c>
      <c r="AX222" s="127"/>
      <c r="AY222" s="127"/>
      <c r="AZ222" s="127">
        <f t="shared" si="870"/>
        <v>125.82</v>
      </c>
      <c r="BA222" s="127">
        <f t="shared" si="832"/>
        <v>6.11</v>
      </c>
      <c r="BB222" s="127">
        <f t="shared" si="872"/>
        <v>26.31</v>
      </c>
      <c r="BC222" s="127">
        <f t="shared" si="872"/>
        <v>0</v>
      </c>
      <c r="BD222" s="127">
        <f t="shared" si="871"/>
        <v>0</v>
      </c>
      <c r="BE222" s="127">
        <f t="shared" si="866"/>
        <v>0</v>
      </c>
      <c r="BF222" s="127">
        <f t="shared" si="866"/>
        <v>47.72</v>
      </c>
      <c r="BG222" s="127">
        <f t="shared" si="866"/>
        <v>7.6599999999999993</v>
      </c>
      <c r="BH222" s="2"/>
      <c r="BI222" s="2"/>
      <c r="BJ222" s="2"/>
      <c r="BK222" s="2"/>
    </row>
    <row r="223" spans="1:66" s="6" customFormat="1" ht="20.100000000000001" customHeight="1" x14ac:dyDescent="0.3">
      <c r="A223" s="76"/>
      <c r="B223" s="85" t="s">
        <v>156</v>
      </c>
      <c r="C223" s="78">
        <f>+C220+C221+C222</f>
        <v>948.56</v>
      </c>
      <c r="D223" s="78">
        <f t="shared" ref="D223:BG223" si="898">+D220+D221+D222</f>
        <v>96.63</v>
      </c>
      <c r="E223" s="78" t="e">
        <f t="shared" si="898"/>
        <v>#REF!</v>
      </c>
      <c r="F223" s="78">
        <f t="shared" si="898"/>
        <v>64.33</v>
      </c>
      <c r="G223" s="78">
        <f t="shared" si="898"/>
        <v>50.76</v>
      </c>
      <c r="H223" s="78" t="e">
        <f t="shared" si="898"/>
        <v>#REF!</v>
      </c>
      <c r="I223" s="78">
        <f t="shared" si="898"/>
        <v>41.81</v>
      </c>
      <c r="J223" s="78">
        <f t="shared" si="898"/>
        <v>11.98</v>
      </c>
      <c r="K223" s="78">
        <f t="shared" si="898"/>
        <v>53.790000000000006</v>
      </c>
      <c r="L223" s="78">
        <f t="shared" si="898"/>
        <v>187.53</v>
      </c>
      <c r="M223" s="78">
        <f t="shared" si="898"/>
        <v>36.130000000000003</v>
      </c>
      <c r="N223" s="78">
        <f t="shared" si="898"/>
        <v>223.66</v>
      </c>
      <c r="O223" s="78">
        <f t="shared" si="898"/>
        <v>1242.23</v>
      </c>
      <c r="P223" s="78">
        <f t="shared" si="898"/>
        <v>195.5</v>
      </c>
      <c r="Q223" s="78">
        <f t="shared" si="898"/>
        <v>1437.73</v>
      </c>
      <c r="R223" s="78">
        <f t="shared" si="898"/>
        <v>237.14</v>
      </c>
      <c r="S223" s="78">
        <f t="shared" si="898"/>
        <v>14.489999999999998</v>
      </c>
      <c r="T223" s="78">
        <f t="shared" si="898"/>
        <v>16.079999999999998</v>
      </c>
      <c r="U223" s="78">
        <f t="shared" si="898"/>
        <v>7.61</v>
      </c>
      <c r="V223" s="78">
        <f t="shared" si="898"/>
        <v>10.45</v>
      </c>
      <c r="W223" s="78">
        <f t="shared" si="898"/>
        <v>1.8</v>
      </c>
      <c r="X223" s="78">
        <f t="shared" si="898"/>
        <v>46.87</v>
      </c>
      <c r="Y223" s="114">
        <f t="shared" si="898"/>
        <v>5.41</v>
      </c>
      <c r="Z223" s="78">
        <f t="shared" si="898"/>
        <v>168.45999999999998</v>
      </c>
      <c r="AA223" s="78">
        <f t="shared" si="898"/>
        <v>5.86</v>
      </c>
      <c r="AB223" s="78">
        <f t="shared" si="898"/>
        <v>10.29</v>
      </c>
      <c r="AC223" s="78">
        <f t="shared" si="898"/>
        <v>2.6</v>
      </c>
      <c r="AD223" s="78">
        <f t="shared" si="898"/>
        <v>6.69</v>
      </c>
      <c r="AE223" s="78">
        <f t="shared" si="898"/>
        <v>0.61</v>
      </c>
      <c r="AF223" s="78">
        <f t="shared" si="898"/>
        <v>0</v>
      </c>
      <c r="AG223" s="78">
        <f t="shared" si="898"/>
        <v>0</v>
      </c>
      <c r="AH223" s="78">
        <f t="shared" si="898"/>
        <v>68.680000000000007</v>
      </c>
      <c r="AI223" s="78">
        <f t="shared" si="898"/>
        <v>11.389999999999999</v>
      </c>
      <c r="AJ223" s="78">
        <f t="shared" si="898"/>
        <v>5.79</v>
      </c>
      <c r="AK223" s="78">
        <f t="shared" si="898"/>
        <v>6.48</v>
      </c>
      <c r="AL223" s="78">
        <f t="shared" si="898"/>
        <v>3.7699999999999996</v>
      </c>
      <c r="AM223" s="78">
        <f t="shared" si="898"/>
        <v>1.56</v>
      </c>
      <c r="AN223" s="78">
        <f t="shared" si="898"/>
        <v>46.879999999999995</v>
      </c>
      <c r="AO223" s="78">
        <f t="shared" si="898"/>
        <v>6.51</v>
      </c>
      <c r="AP223" s="78">
        <f t="shared" si="898"/>
        <v>237.14</v>
      </c>
      <c r="AQ223" s="78">
        <f t="shared" si="898"/>
        <v>27.21</v>
      </c>
      <c r="AR223" s="78">
        <f t="shared" si="898"/>
        <v>16.079999999999998</v>
      </c>
      <c r="AS223" s="78">
        <f t="shared" si="898"/>
        <v>14.29</v>
      </c>
      <c r="AT223" s="78">
        <f t="shared" si="898"/>
        <v>10.45</v>
      </c>
      <c r="AU223" s="78">
        <f t="shared" si="898"/>
        <v>3.37</v>
      </c>
      <c r="AV223" s="78">
        <f t="shared" si="898"/>
        <v>46.86</v>
      </c>
      <c r="AW223" s="78">
        <f t="shared" si="898"/>
        <v>10.17</v>
      </c>
      <c r="AX223" s="78">
        <f t="shared" si="898"/>
        <v>0</v>
      </c>
      <c r="AY223" s="78">
        <f t="shared" si="898"/>
        <v>0</v>
      </c>
      <c r="AZ223" s="78">
        <f t="shared" si="898"/>
        <v>711.42000000000007</v>
      </c>
      <c r="BA223" s="78">
        <f t="shared" si="898"/>
        <v>58.95</v>
      </c>
      <c r="BB223" s="78">
        <f t="shared" si="898"/>
        <v>48.239999999999995</v>
      </c>
      <c r="BC223" s="78">
        <f t="shared" si="898"/>
        <v>30.98</v>
      </c>
      <c r="BD223" s="78">
        <f t="shared" si="898"/>
        <v>31.36</v>
      </c>
      <c r="BE223" s="78">
        <f t="shared" si="898"/>
        <v>7.34</v>
      </c>
      <c r="BF223" s="78">
        <f t="shared" si="898"/>
        <v>140.60999999999999</v>
      </c>
      <c r="BG223" s="78">
        <f t="shared" si="898"/>
        <v>22.09</v>
      </c>
      <c r="BH223" s="78"/>
      <c r="BI223" s="78"/>
      <c r="BJ223" s="78"/>
      <c r="BK223" s="78"/>
      <c r="BL223" s="78">
        <f t="shared" ref="BL223:BN223" si="899">+BL220+BL221+BL222</f>
        <v>0</v>
      </c>
      <c r="BM223" s="78">
        <f t="shared" si="899"/>
        <v>0</v>
      </c>
      <c r="BN223" s="78">
        <f t="shared" si="899"/>
        <v>0</v>
      </c>
    </row>
    <row r="224" spans="1:66" ht="20.100000000000001" customHeight="1" x14ac:dyDescent="0.3">
      <c r="A224" s="15">
        <v>29</v>
      </c>
      <c r="B224" s="24" t="s">
        <v>159</v>
      </c>
      <c r="C224" s="17">
        <v>660.76</v>
      </c>
      <c r="D224" s="17">
        <v>73.36</v>
      </c>
      <c r="E224" s="19" t="e">
        <f>C224+D224+#REF!+#REF!</f>
        <v>#REF!</v>
      </c>
      <c r="F224" s="17">
        <v>0</v>
      </c>
      <c r="G224" s="28">
        <v>0</v>
      </c>
      <c r="H224" s="19" t="e">
        <f>F224+G224+#REF!</f>
        <v>#REF!</v>
      </c>
      <c r="I224" s="17">
        <v>35.840000000000003</v>
      </c>
      <c r="J224" s="17">
        <v>11.88</v>
      </c>
      <c r="K224" s="19">
        <f t="shared" si="838"/>
        <v>47.720000000000006</v>
      </c>
      <c r="L224" s="28">
        <v>50</v>
      </c>
      <c r="M224" s="28">
        <v>89.17</v>
      </c>
      <c r="N224" s="19">
        <f t="shared" si="831"/>
        <v>139.17000000000002</v>
      </c>
      <c r="O224" s="19">
        <f>C224+F224+I224+L224</f>
        <v>746.6</v>
      </c>
      <c r="P224" s="20">
        <f>D224+G224+J224+M224</f>
        <v>174.41</v>
      </c>
      <c r="Q224" s="19">
        <f t="shared" si="817"/>
        <v>921.01</v>
      </c>
      <c r="R224" s="17">
        <f t="shared" si="845"/>
        <v>165.19</v>
      </c>
      <c r="S224" s="17">
        <f t="shared" si="862"/>
        <v>11</v>
      </c>
      <c r="T224" s="17">
        <f t="shared" si="840"/>
        <v>0</v>
      </c>
      <c r="U224" s="17">
        <f t="shared" si="863"/>
        <v>0</v>
      </c>
      <c r="V224" s="75">
        <f>ROUND(I224*0.25,2)-0.01</f>
        <v>8.9500000000000011</v>
      </c>
      <c r="W224" s="17">
        <f t="shared" si="864"/>
        <v>1.78</v>
      </c>
      <c r="X224" s="17">
        <f t="shared" si="842"/>
        <v>12.5</v>
      </c>
      <c r="Y224" s="113">
        <f t="shared" si="865"/>
        <v>13.38</v>
      </c>
      <c r="Z224" s="127">
        <f>ROUND(C224*17.76%,2)-0.02</f>
        <v>117.33</v>
      </c>
      <c r="AA224" s="127">
        <f t="shared" si="847"/>
        <v>4.45</v>
      </c>
      <c r="AB224" s="127">
        <f t="shared" si="848"/>
        <v>0</v>
      </c>
      <c r="AC224" s="127">
        <f t="shared" si="849"/>
        <v>0</v>
      </c>
      <c r="AD224" s="127">
        <f t="shared" si="850"/>
        <v>5.73</v>
      </c>
      <c r="AE224" s="127">
        <f>ROUND(J224*5.08%,2)+0.01</f>
        <v>0.61</v>
      </c>
      <c r="AF224" s="127">
        <v>0</v>
      </c>
      <c r="AG224" s="127">
        <v>0</v>
      </c>
      <c r="AH224" s="127">
        <f t="shared" si="856"/>
        <v>47.84</v>
      </c>
      <c r="AI224" s="127">
        <f>ROUND(D224*11.79%,2)-0.02</f>
        <v>8.6300000000000008</v>
      </c>
      <c r="AJ224" s="127">
        <f t="shared" si="853"/>
        <v>0</v>
      </c>
      <c r="AK224" s="127">
        <f t="shared" si="854"/>
        <v>0</v>
      </c>
      <c r="AL224" s="127">
        <f t="shared" si="897"/>
        <v>3.23</v>
      </c>
      <c r="AM224" s="127">
        <f t="shared" si="855"/>
        <v>1.54</v>
      </c>
      <c r="AN224" s="127">
        <f t="shared" si="887"/>
        <v>12.5</v>
      </c>
      <c r="AO224" s="127">
        <f>ROUND(M224*18%,2)-0.2</f>
        <v>15.850000000000001</v>
      </c>
      <c r="AP224" s="127">
        <f>ROUND(C224*25%,2)-0.03</f>
        <v>165.16</v>
      </c>
      <c r="AQ224" s="127">
        <f t="shared" si="890"/>
        <v>20.65</v>
      </c>
      <c r="AR224" s="127">
        <f t="shared" si="891"/>
        <v>0</v>
      </c>
      <c r="AS224" s="127">
        <f t="shared" si="892"/>
        <v>0</v>
      </c>
      <c r="AT224" s="127">
        <f>ROUND(I224*25%,2)-0.01</f>
        <v>8.9500000000000011</v>
      </c>
      <c r="AU224" s="127">
        <f t="shared" si="894"/>
        <v>3.34</v>
      </c>
      <c r="AV224" s="127">
        <f t="shared" si="895"/>
        <v>12.5</v>
      </c>
      <c r="AW224" s="127">
        <f t="shared" si="896"/>
        <v>25.1</v>
      </c>
      <c r="AX224" s="127"/>
      <c r="AY224" s="127"/>
      <c r="AZ224" s="127">
        <f t="shared" si="870"/>
        <v>495.52</v>
      </c>
      <c r="BA224" s="127">
        <f t="shared" si="832"/>
        <v>44.730000000000004</v>
      </c>
      <c r="BB224" s="127">
        <f t="shared" si="872"/>
        <v>0</v>
      </c>
      <c r="BC224" s="127">
        <f t="shared" si="872"/>
        <v>0</v>
      </c>
      <c r="BD224" s="127">
        <f t="shared" si="871"/>
        <v>26.860000000000007</v>
      </c>
      <c r="BE224" s="127">
        <f t="shared" si="866"/>
        <v>7.2700000000000005</v>
      </c>
      <c r="BF224" s="127">
        <f t="shared" si="866"/>
        <v>37.5</v>
      </c>
      <c r="BG224" s="127">
        <f t="shared" si="866"/>
        <v>54.330000000000005</v>
      </c>
      <c r="BH224" s="2"/>
      <c r="BI224" s="2"/>
      <c r="BJ224" s="2"/>
      <c r="BK224" s="2"/>
    </row>
    <row r="225" spans="1:69" s="34" customFormat="1" ht="20.100000000000001" customHeight="1" x14ac:dyDescent="0.3">
      <c r="A225" s="31"/>
      <c r="B225" s="32" t="s">
        <v>160</v>
      </c>
      <c r="C225" s="33">
        <f>+C224+C223+C219+C216+C215+C211+C208+C207+C200+C199+C198+C197+C194+C193+C189</f>
        <v>10449</v>
      </c>
      <c r="D225" s="33">
        <f t="shared" ref="D225:K225" si="900">+D224+D223+D219+D216+D215+D211+D208+D207+D200+D199+D198+D197+D194+D193+D189</f>
        <v>2181</v>
      </c>
      <c r="E225" s="33" t="e">
        <f t="shared" si="900"/>
        <v>#REF!</v>
      </c>
      <c r="F225" s="33">
        <f t="shared" si="900"/>
        <v>3152</v>
      </c>
      <c r="G225" s="33">
        <f t="shared" si="900"/>
        <v>1148</v>
      </c>
      <c r="H225" s="33" t="e">
        <f t="shared" si="900"/>
        <v>#REF!</v>
      </c>
      <c r="I225" s="33">
        <f t="shared" si="900"/>
        <v>834</v>
      </c>
      <c r="J225" s="33">
        <f t="shared" si="900"/>
        <v>166</v>
      </c>
      <c r="K225" s="33">
        <f t="shared" si="900"/>
        <v>999.99999999999989</v>
      </c>
      <c r="L225" s="33">
        <f>+L224+L223+L219+L216+L215+L211+L208+L207+L200+L199+L198+L197+L194+L193+L189</f>
        <v>1148.9999999999998</v>
      </c>
      <c r="M225" s="33">
        <f t="shared" ref="M225:BG225" si="901">+M224+M223+M219+M216+M215+M211+M208+M207+M200+M199+M198+M197+M194+M193+M189</f>
        <v>420.99999999999994</v>
      </c>
      <c r="N225" s="33">
        <f t="shared" si="901"/>
        <v>1570.0000000000002</v>
      </c>
      <c r="O225" s="33">
        <f t="shared" si="901"/>
        <v>15583.999999999998</v>
      </c>
      <c r="P225" s="33">
        <f t="shared" si="901"/>
        <v>3916.0000000000005</v>
      </c>
      <c r="Q225" s="33">
        <f t="shared" si="901"/>
        <v>19500</v>
      </c>
      <c r="R225" s="33">
        <f t="shared" si="901"/>
        <v>2612.2500000000005</v>
      </c>
      <c r="S225" s="33">
        <f t="shared" si="901"/>
        <v>327.14999999999998</v>
      </c>
      <c r="T225" s="33">
        <f t="shared" si="901"/>
        <v>788</v>
      </c>
      <c r="U225" s="33">
        <f t="shared" si="901"/>
        <v>172.20000000000002</v>
      </c>
      <c r="V225" s="33">
        <f t="shared" si="901"/>
        <v>208.49999999999997</v>
      </c>
      <c r="W225" s="33">
        <f t="shared" si="901"/>
        <v>24.900000000000002</v>
      </c>
      <c r="X225" s="33">
        <f t="shared" si="901"/>
        <v>287.24999999999994</v>
      </c>
      <c r="Y225" s="117">
        <f t="shared" si="901"/>
        <v>63.150000000000006</v>
      </c>
      <c r="Z225" s="33">
        <f t="shared" si="901"/>
        <v>1855.6799999999996</v>
      </c>
      <c r="AA225" s="33">
        <f t="shared" si="901"/>
        <v>132.22</v>
      </c>
      <c r="AB225" s="33">
        <f t="shared" si="901"/>
        <v>504.32</v>
      </c>
      <c r="AC225" s="33">
        <f t="shared" si="901"/>
        <v>58.34</v>
      </c>
      <c r="AD225" s="33">
        <f t="shared" si="901"/>
        <v>133.44</v>
      </c>
      <c r="AE225" s="33">
        <f t="shared" si="901"/>
        <v>8.44</v>
      </c>
      <c r="AF225" s="33">
        <f t="shared" si="901"/>
        <v>0</v>
      </c>
      <c r="AG225" s="33">
        <f t="shared" si="901"/>
        <v>0</v>
      </c>
      <c r="AH225" s="33">
        <f t="shared" si="901"/>
        <v>756.56999999999994</v>
      </c>
      <c r="AI225" s="33">
        <f t="shared" si="901"/>
        <v>257.08999999999997</v>
      </c>
      <c r="AJ225" s="33">
        <f t="shared" si="901"/>
        <v>283.68</v>
      </c>
      <c r="AK225" s="33">
        <f t="shared" si="901"/>
        <v>146.57999999999998</v>
      </c>
      <c r="AL225" s="33">
        <f t="shared" si="901"/>
        <v>75.06</v>
      </c>
      <c r="AM225" s="33">
        <f t="shared" si="901"/>
        <v>21.19</v>
      </c>
      <c r="AN225" s="33">
        <f t="shared" si="901"/>
        <v>287.24999999999994</v>
      </c>
      <c r="AO225" s="33">
        <f t="shared" si="901"/>
        <v>75.150000000000006</v>
      </c>
      <c r="AP225" s="33">
        <f t="shared" si="901"/>
        <v>2612.2500000000005</v>
      </c>
      <c r="AQ225" s="33">
        <f t="shared" si="901"/>
        <v>613.95000000000005</v>
      </c>
      <c r="AR225" s="33">
        <f t="shared" si="901"/>
        <v>788</v>
      </c>
      <c r="AS225" s="33">
        <f t="shared" si="901"/>
        <v>323.16000000000003</v>
      </c>
      <c r="AT225" s="33">
        <f t="shared" si="901"/>
        <v>208.49999999999997</v>
      </c>
      <c r="AU225" s="33">
        <f t="shared" si="901"/>
        <v>46.730000000000004</v>
      </c>
      <c r="AV225" s="33">
        <f t="shared" si="901"/>
        <v>287.24999999999994</v>
      </c>
      <c r="AW225" s="33">
        <f t="shared" si="901"/>
        <v>118.50999999999999</v>
      </c>
      <c r="AX225" s="33">
        <f t="shared" si="901"/>
        <v>0</v>
      </c>
      <c r="AY225" s="33">
        <f t="shared" si="901"/>
        <v>0</v>
      </c>
      <c r="AZ225" s="33">
        <f t="shared" si="901"/>
        <v>7836.7499999999982</v>
      </c>
      <c r="BA225" s="33">
        <f t="shared" si="901"/>
        <v>1330.4099999999999</v>
      </c>
      <c r="BB225" s="33">
        <f t="shared" si="901"/>
        <v>2363.9999999999995</v>
      </c>
      <c r="BC225" s="33">
        <f t="shared" si="901"/>
        <v>700.28000000000009</v>
      </c>
      <c r="BD225" s="33">
        <f t="shared" si="901"/>
        <v>625.5</v>
      </c>
      <c r="BE225" s="33">
        <f t="shared" si="901"/>
        <v>101.25999999999999</v>
      </c>
      <c r="BF225" s="33">
        <f t="shared" si="901"/>
        <v>861.75000000000011</v>
      </c>
      <c r="BG225" s="33">
        <f t="shared" si="901"/>
        <v>256.80999999999995</v>
      </c>
      <c r="BH225" s="33"/>
      <c r="BI225" s="33"/>
      <c r="BJ225" s="33"/>
      <c r="BK225" s="33"/>
      <c r="BL225" s="33">
        <f t="shared" ref="BL225:BN225" si="902">+BL224+BL223+BL219+BL216+BL215+BL211+BL208+BL207+BL200+BL199+BL198+BL197+BL194+BL193+BL189</f>
        <v>5.0843373493975896</v>
      </c>
      <c r="BM225" s="33">
        <f t="shared" si="902"/>
        <v>0</v>
      </c>
      <c r="BN225" s="33">
        <f t="shared" si="902"/>
        <v>0</v>
      </c>
    </row>
    <row r="226" spans="1:69" ht="20.100000000000001" customHeight="1" x14ac:dyDescent="0.3">
      <c r="A226" s="15">
        <v>30</v>
      </c>
      <c r="B226" s="24" t="s">
        <v>161</v>
      </c>
      <c r="C226" s="17">
        <v>4098</v>
      </c>
      <c r="D226" s="17">
        <v>392</v>
      </c>
      <c r="E226" s="19" t="e">
        <f>C226+D226+#REF!+#REF!</f>
        <v>#REF!</v>
      </c>
      <c r="F226" s="17">
        <v>467</v>
      </c>
      <c r="G226" s="28">
        <v>83</v>
      </c>
      <c r="H226" s="19" t="e">
        <f>F226+G226+#REF!</f>
        <v>#REF!</v>
      </c>
      <c r="I226" s="17">
        <v>0</v>
      </c>
      <c r="J226" s="17">
        <v>0</v>
      </c>
      <c r="K226" s="19">
        <f>I226+J226</f>
        <v>0</v>
      </c>
      <c r="L226" s="28">
        <v>402</v>
      </c>
      <c r="M226" s="28">
        <v>58</v>
      </c>
      <c r="N226" s="19">
        <f t="shared" si="831"/>
        <v>460</v>
      </c>
      <c r="O226" s="19">
        <f>C226+F226+I226+L226</f>
        <v>4967</v>
      </c>
      <c r="P226" s="20">
        <f>D226+G226+J226+M226</f>
        <v>533</v>
      </c>
      <c r="Q226" s="19">
        <f t="shared" si="817"/>
        <v>5500</v>
      </c>
      <c r="R226" s="17">
        <f t="shared" ref="R226" si="903">ROUND(C226*0.25,2)</f>
        <v>1024.5</v>
      </c>
      <c r="S226" s="17">
        <f>ROUND(D226*0.15,2)+227.99</f>
        <v>286.79000000000002</v>
      </c>
      <c r="T226" s="17">
        <f t="shared" ref="T226" si="904">ROUND(F226*0.25,2)</f>
        <v>116.75</v>
      </c>
      <c r="U226" s="17">
        <f>ROUND(G226*0.15,2)+28.28</f>
        <v>40.730000000000004</v>
      </c>
      <c r="V226" s="17">
        <f t="shared" ref="V226" si="905">ROUND(I226*0.25,2)</f>
        <v>0</v>
      </c>
      <c r="W226" s="17">
        <f t="shared" si="864"/>
        <v>0</v>
      </c>
      <c r="X226" s="17">
        <f t="shared" ref="X226" si="906">ROUND(L226*0.25,2)</f>
        <v>100.5</v>
      </c>
      <c r="Y226" s="113">
        <f>ROUND(M226*0.15,2)+19.72</f>
        <v>28.419999999999998</v>
      </c>
      <c r="Z226" s="127">
        <v>720</v>
      </c>
      <c r="AA226" s="127">
        <v>33.770000000000003</v>
      </c>
      <c r="AB226" s="127">
        <v>50</v>
      </c>
      <c r="AC226" s="127">
        <v>6.23</v>
      </c>
      <c r="AD226" s="127">
        <f t="shared" ref="AD226:AD259" si="907">ROUND(I226*25%,2)</f>
        <v>0</v>
      </c>
      <c r="AE226" s="127">
        <f t="shared" ref="AE226:AE259" si="908">ROUND(J226*17.85%,2)</f>
        <v>0</v>
      </c>
      <c r="AF226" s="127">
        <v>0</v>
      </c>
      <c r="AG226" s="127">
        <v>0</v>
      </c>
      <c r="AH226" s="127">
        <f>ROUND(C226*7%,2)+17.64</f>
        <v>304.5</v>
      </c>
      <c r="AI226" s="127">
        <f>ROUND(D226*9%,2)+0.92</f>
        <v>36.200000000000003</v>
      </c>
      <c r="AJ226" s="127">
        <f>ROUND(F226*14%,2)+1.37</f>
        <v>66.75</v>
      </c>
      <c r="AK226" s="127">
        <f>ROUND(G226*10%,2)+0.29</f>
        <v>8.59</v>
      </c>
      <c r="AL226" s="127">
        <f t="shared" si="897"/>
        <v>0</v>
      </c>
      <c r="AM226" s="127">
        <f t="shared" si="855"/>
        <v>0</v>
      </c>
      <c r="AN226" s="127">
        <f t="shared" si="887"/>
        <v>100.5</v>
      </c>
      <c r="AO226" s="127">
        <f>ROUND(M226*18%,2)-0.09</f>
        <v>10.35</v>
      </c>
      <c r="AP226" s="127">
        <f t="shared" si="889"/>
        <v>1024.5</v>
      </c>
      <c r="AQ226" s="127">
        <v>0</v>
      </c>
      <c r="AR226" s="127">
        <f t="shared" si="891"/>
        <v>116.75</v>
      </c>
      <c r="AS226" s="127">
        <v>0</v>
      </c>
      <c r="AT226" s="127">
        <f t="shared" si="893"/>
        <v>0</v>
      </c>
      <c r="AU226" s="127">
        <f t="shared" si="894"/>
        <v>0</v>
      </c>
      <c r="AV226" s="127">
        <f t="shared" si="895"/>
        <v>100.5</v>
      </c>
      <c r="AW226" s="127">
        <v>0</v>
      </c>
      <c r="AX226" s="127"/>
      <c r="AY226" s="127"/>
      <c r="AZ226" s="127">
        <f t="shared" si="870"/>
        <v>3073.5</v>
      </c>
      <c r="BA226" s="127">
        <f t="shared" si="832"/>
        <v>356.76</v>
      </c>
      <c r="BB226" s="127">
        <f t="shared" si="872"/>
        <v>350.25</v>
      </c>
      <c r="BC226" s="127">
        <f t="shared" si="872"/>
        <v>55.550000000000004</v>
      </c>
      <c r="BD226" s="127">
        <f t="shared" si="871"/>
        <v>0</v>
      </c>
      <c r="BE226" s="127">
        <f t="shared" si="866"/>
        <v>0</v>
      </c>
      <c r="BF226" s="127">
        <f t="shared" si="866"/>
        <v>301.5</v>
      </c>
      <c r="BG226" s="127">
        <f t="shared" si="866"/>
        <v>38.769999999999996</v>
      </c>
      <c r="BH226" s="2"/>
      <c r="BI226" s="2"/>
      <c r="BJ226" s="2"/>
      <c r="BK226" s="2"/>
    </row>
    <row r="227" spans="1:69" s="34" customFormat="1" ht="20.100000000000001" customHeight="1" x14ac:dyDescent="0.3">
      <c r="A227" s="31"/>
      <c r="B227" s="32" t="s">
        <v>162</v>
      </c>
      <c r="C227" s="33">
        <f t="shared" ref="C227:BG227" si="909">C226</f>
        <v>4098</v>
      </c>
      <c r="D227" s="33">
        <f t="shared" si="909"/>
        <v>392</v>
      </c>
      <c r="E227" s="33" t="e">
        <f t="shared" si="909"/>
        <v>#REF!</v>
      </c>
      <c r="F227" s="33">
        <f t="shared" si="909"/>
        <v>467</v>
      </c>
      <c r="G227" s="33">
        <f t="shared" si="909"/>
        <v>83</v>
      </c>
      <c r="H227" s="33" t="e">
        <f t="shared" si="909"/>
        <v>#REF!</v>
      </c>
      <c r="I227" s="33">
        <f t="shared" si="909"/>
        <v>0</v>
      </c>
      <c r="J227" s="33">
        <f t="shared" si="909"/>
        <v>0</v>
      </c>
      <c r="K227" s="33">
        <f t="shared" si="909"/>
        <v>0</v>
      </c>
      <c r="L227" s="33">
        <f t="shared" si="909"/>
        <v>402</v>
      </c>
      <c r="M227" s="33">
        <f t="shared" si="909"/>
        <v>58</v>
      </c>
      <c r="N227" s="33">
        <f t="shared" si="909"/>
        <v>460</v>
      </c>
      <c r="O227" s="33">
        <f t="shared" si="909"/>
        <v>4967</v>
      </c>
      <c r="P227" s="33">
        <f t="shared" si="909"/>
        <v>533</v>
      </c>
      <c r="Q227" s="33">
        <f t="shared" si="909"/>
        <v>5500</v>
      </c>
      <c r="R227" s="33">
        <f t="shared" si="909"/>
        <v>1024.5</v>
      </c>
      <c r="S227" s="33">
        <f t="shared" si="909"/>
        <v>286.79000000000002</v>
      </c>
      <c r="T227" s="33">
        <f t="shared" si="909"/>
        <v>116.75</v>
      </c>
      <c r="U227" s="33">
        <f t="shared" si="909"/>
        <v>40.730000000000004</v>
      </c>
      <c r="V227" s="33">
        <f t="shared" si="909"/>
        <v>0</v>
      </c>
      <c r="W227" s="33">
        <f t="shared" si="909"/>
        <v>0</v>
      </c>
      <c r="X227" s="33">
        <f t="shared" si="909"/>
        <v>100.5</v>
      </c>
      <c r="Y227" s="117">
        <f t="shared" si="909"/>
        <v>28.419999999999998</v>
      </c>
      <c r="Z227" s="33">
        <f t="shared" si="909"/>
        <v>720</v>
      </c>
      <c r="AA227" s="33">
        <f t="shared" si="909"/>
        <v>33.770000000000003</v>
      </c>
      <c r="AB227" s="33">
        <f t="shared" si="909"/>
        <v>50</v>
      </c>
      <c r="AC227" s="33">
        <f t="shared" si="909"/>
        <v>6.23</v>
      </c>
      <c r="AD227" s="33">
        <f t="shared" si="909"/>
        <v>0</v>
      </c>
      <c r="AE227" s="33">
        <f t="shared" si="909"/>
        <v>0</v>
      </c>
      <c r="AF227" s="33">
        <f t="shared" si="909"/>
        <v>0</v>
      </c>
      <c r="AG227" s="33">
        <f t="shared" si="909"/>
        <v>0</v>
      </c>
      <c r="AH227" s="33">
        <f t="shared" si="909"/>
        <v>304.5</v>
      </c>
      <c r="AI227" s="33">
        <f t="shared" si="909"/>
        <v>36.200000000000003</v>
      </c>
      <c r="AJ227" s="33">
        <f t="shared" si="909"/>
        <v>66.75</v>
      </c>
      <c r="AK227" s="33">
        <f t="shared" si="909"/>
        <v>8.59</v>
      </c>
      <c r="AL227" s="33">
        <f t="shared" si="909"/>
        <v>0</v>
      </c>
      <c r="AM227" s="33">
        <f t="shared" si="909"/>
        <v>0</v>
      </c>
      <c r="AN227" s="33">
        <f t="shared" si="909"/>
        <v>100.5</v>
      </c>
      <c r="AO227" s="33">
        <f t="shared" si="909"/>
        <v>10.35</v>
      </c>
      <c r="AP227" s="33">
        <f t="shared" si="909"/>
        <v>1024.5</v>
      </c>
      <c r="AQ227" s="33">
        <f t="shared" si="909"/>
        <v>0</v>
      </c>
      <c r="AR227" s="33">
        <f t="shared" si="909"/>
        <v>116.75</v>
      </c>
      <c r="AS227" s="33">
        <f t="shared" si="909"/>
        <v>0</v>
      </c>
      <c r="AT227" s="33">
        <f t="shared" si="909"/>
        <v>0</v>
      </c>
      <c r="AU227" s="33">
        <f t="shared" si="909"/>
        <v>0</v>
      </c>
      <c r="AV227" s="33">
        <f t="shared" si="909"/>
        <v>100.5</v>
      </c>
      <c r="AW227" s="33">
        <f t="shared" si="909"/>
        <v>0</v>
      </c>
      <c r="AX227" s="33">
        <f t="shared" si="909"/>
        <v>0</v>
      </c>
      <c r="AY227" s="33">
        <f t="shared" si="909"/>
        <v>0</v>
      </c>
      <c r="AZ227" s="33">
        <f t="shared" si="909"/>
        <v>3073.5</v>
      </c>
      <c r="BA227" s="33">
        <f t="shared" si="909"/>
        <v>356.76</v>
      </c>
      <c r="BB227" s="33">
        <f t="shared" si="909"/>
        <v>350.25</v>
      </c>
      <c r="BC227" s="33">
        <f t="shared" si="909"/>
        <v>55.550000000000004</v>
      </c>
      <c r="BD227" s="33">
        <f t="shared" si="909"/>
        <v>0</v>
      </c>
      <c r="BE227" s="33">
        <f t="shared" si="909"/>
        <v>0</v>
      </c>
      <c r="BF227" s="33">
        <f t="shared" si="909"/>
        <v>301.5</v>
      </c>
      <c r="BG227" s="33">
        <f t="shared" si="909"/>
        <v>38.769999999999996</v>
      </c>
      <c r="BH227" s="33"/>
      <c r="BI227" s="33"/>
      <c r="BJ227" s="33"/>
      <c r="BK227" s="33"/>
    </row>
    <row r="228" spans="1:69" ht="20.100000000000001" customHeight="1" x14ac:dyDescent="0.3">
      <c r="A228" s="15">
        <v>1</v>
      </c>
      <c r="B228" s="16" t="s">
        <v>163</v>
      </c>
      <c r="C228" s="17">
        <v>1240</v>
      </c>
      <c r="D228" s="17">
        <v>240</v>
      </c>
      <c r="E228" s="19" t="e">
        <f>C228+D228+#REF!+#REF!</f>
        <v>#REF!</v>
      </c>
      <c r="F228" s="17">
        <v>0</v>
      </c>
      <c r="G228" s="28">
        <v>0</v>
      </c>
      <c r="H228" s="19" t="e">
        <f>F228+G228+#REF!</f>
        <v>#REF!</v>
      </c>
      <c r="I228" s="17">
        <v>60</v>
      </c>
      <c r="J228" s="17">
        <v>30</v>
      </c>
      <c r="K228" s="19">
        <f t="shared" ref="K228:K241" si="910">I228+J228</f>
        <v>90</v>
      </c>
      <c r="L228" s="28">
        <v>125</v>
      </c>
      <c r="M228" s="28">
        <v>25</v>
      </c>
      <c r="N228" s="19">
        <f t="shared" si="831"/>
        <v>150</v>
      </c>
      <c r="O228" s="19">
        <f>C228+F228+I228+L228</f>
        <v>1425</v>
      </c>
      <c r="P228" s="20">
        <f>D228+G228+J228+M228</f>
        <v>295</v>
      </c>
      <c r="Q228" s="19">
        <f t="shared" si="817"/>
        <v>1720</v>
      </c>
      <c r="R228" s="17">
        <f t="shared" ref="R228" si="911">ROUND(C228*0.25,2)</f>
        <v>310</v>
      </c>
      <c r="S228" s="17">
        <f t="shared" si="862"/>
        <v>36</v>
      </c>
      <c r="T228" s="17">
        <f t="shared" ref="T228:T241" si="912">ROUND(F228*0.25,2)</f>
        <v>0</v>
      </c>
      <c r="U228" s="17">
        <f t="shared" si="863"/>
        <v>0</v>
      </c>
      <c r="V228" s="17">
        <f t="shared" ref="V228:V241" si="913">ROUND(I228*0.25,2)</f>
        <v>15</v>
      </c>
      <c r="W228" s="17">
        <f t="shared" si="864"/>
        <v>4.5</v>
      </c>
      <c r="X228" s="17">
        <f t="shared" ref="X228:X241" si="914">ROUND(L228*0.25,2)</f>
        <v>31.25</v>
      </c>
      <c r="Y228" s="113">
        <f t="shared" si="865"/>
        <v>3.75</v>
      </c>
      <c r="Z228" s="127">
        <f>ROUND(C228*17.32%,2)</f>
        <v>214.77</v>
      </c>
      <c r="AA228" s="127">
        <f>ROUND(D228*4.59%,2)</f>
        <v>11.02</v>
      </c>
      <c r="AB228" s="127">
        <f>ROUND(F228*3.57%,2)</f>
        <v>0</v>
      </c>
      <c r="AC228" s="127">
        <f>ROUND(G228*3.85%,2)</f>
        <v>0</v>
      </c>
      <c r="AD228" s="127">
        <f>ROUND(I228*16%,2)</f>
        <v>9.6</v>
      </c>
      <c r="AE228" s="127">
        <f>ROUND(J228*3.85%,2)-0.01</f>
        <v>1.1499999999999999</v>
      </c>
      <c r="AF228" s="127">
        <v>0</v>
      </c>
      <c r="AG228" s="127">
        <v>0</v>
      </c>
      <c r="AH228" s="127">
        <f>ROUND(C228*7.68%,2)</f>
        <v>95.23</v>
      </c>
      <c r="AI228" s="127">
        <f>ROUND(D228*13.25%,2)+0.03</f>
        <v>31.830000000000002</v>
      </c>
      <c r="AJ228" s="127">
        <f>ROUND(F228*21%,2)</f>
        <v>0</v>
      </c>
      <c r="AK228" s="127">
        <f>ROUND(G228*14%,2)</f>
        <v>0</v>
      </c>
      <c r="AL228" s="127">
        <f t="shared" si="897"/>
        <v>5.4</v>
      </c>
      <c r="AM228" s="127">
        <f>ROUND(J228*14%,2)</f>
        <v>4.2</v>
      </c>
      <c r="AN228" s="127">
        <f t="shared" si="887"/>
        <v>31.25</v>
      </c>
      <c r="AO228" s="127">
        <f>ROUND(M228*18%,2)-0.05</f>
        <v>4.45</v>
      </c>
      <c r="AP228" s="127">
        <f t="shared" si="889"/>
        <v>310</v>
      </c>
      <c r="AQ228" s="127">
        <f t="shared" si="890"/>
        <v>67.56</v>
      </c>
      <c r="AR228" s="127">
        <f t="shared" si="891"/>
        <v>0</v>
      </c>
      <c r="AS228" s="127">
        <f t="shared" si="892"/>
        <v>0</v>
      </c>
      <c r="AT228" s="127">
        <f t="shared" si="893"/>
        <v>15</v>
      </c>
      <c r="AU228" s="127">
        <f>ROUND(J228*28.15%,2)-0.03</f>
        <v>8.42</v>
      </c>
      <c r="AV228" s="127">
        <f t="shared" si="895"/>
        <v>31.25</v>
      </c>
      <c r="AW228" s="127">
        <f t="shared" si="896"/>
        <v>7.04</v>
      </c>
      <c r="AX228" s="127"/>
      <c r="AY228" s="127"/>
      <c r="AZ228" s="127">
        <f t="shared" si="870"/>
        <v>930</v>
      </c>
      <c r="BA228" s="127">
        <f t="shared" si="832"/>
        <v>146.41</v>
      </c>
      <c r="BB228" s="127">
        <f t="shared" si="872"/>
        <v>0</v>
      </c>
      <c r="BC228" s="127">
        <f t="shared" si="872"/>
        <v>0</v>
      </c>
      <c r="BD228" s="127">
        <f t="shared" si="871"/>
        <v>45</v>
      </c>
      <c r="BE228" s="127">
        <f t="shared" si="866"/>
        <v>18.270000000000003</v>
      </c>
      <c r="BF228" s="127">
        <f t="shared" si="866"/>
        <v>93.75</v>
      </c>
      <c r="BG228" s="127">
        <f t="shared" si="866"/>
        <v>15.24</v>
      </c>
      <c r="BH228" s="2"/>
      <c r="BI228" s="2"/>
      <c r="BJ228" s="2"/>
      <c r="BK228" s="2"/>
    </row>
    <row r="229" spans="1:69" ht="20.100000000000001" customHeight="1" x14ac:dyDescent="0.3">
      <c r="A229" s="15">
        <v>2</v>
      </c>
      <c r="B229" s="16" t="s">
        <v>164</v>
      </c>
      <c r="C229" s="17">
        <v>250</v>
      </c>
      <c r="D229" s="17">
        <v>0</v>
      </c>
      <c r="E229" s="19" t="e">
        <f>C229+D229+#REF!+#REF!</f>
        <v>#REF!</v>
      </c>
      <c r="F229" s="17">
        <v>0</v>
      </c>
      <c r="G229" s="28">
        <v>0</v>
      </c>
      <c r="H229" s="19" t="e">
        <f>F229+G229+#REF!</f>
        <v>#REF!</v>
      </c>
      <c r="I229" s="17">
        <v>0</v>
      </c>
      <c r="J229" s="17">
        <v>0</v>
      </c>
      <c r="K229" s="19">
        <f t="shared" si="910"/>
        <v>0</v>
      </c>
      <c r="L229" s="28">
        <v>0</v>
      </c>
      <c r="M229" s="28">
        <v>0</v>
      </c>
      <c r="N229" s="19">
        <f t="shared" si="831"/>
        <v>0</v>
      </c>
      <c r="O229" s="19">
        <f>C229+F229+I229+L229</f>
        <v>250</v>
      </c>
      <c r="P229" s="20">
        <f>D229+G229+J229+M229</f>
        <v>0</v>
      </c>
      <c r="Q229" s="19">
        <f t="shared" si="817"/>
        <v>250</v>
      </c>
      <c r="R229" s="17">
        <f t="shared" ref="R229:R241" si="915">ROUND(C229*0.25,2)</f>
        <v>62.5</v>
      </c>
      <c r="S229" s="17">
        <f t="shared" si="862"/>
        <v>0</v>
      </c>
      <c r="T229" s="17">
        <f t="shared" si="912"/>
        <v>0</v>
      </c>
      <c r="U229" s="17">
        <f t="shared" si="863"/>
        <v>0</v>
      </c>
      <c r="V229" s="17">
        <f t="shared" si="913"/>
        <v>0</v>
      </c>
      <c r="W229" s="17">
        <f t="shared" si="864"/>
        <v>0</v>
      </c>
      <c r="X229" s="17">
        <f t="shared" si="914"/>
        <v>0</v>
      </c>
      <c r="Y229" s="113">
        <f t="shared" si="865"/>
        <v>0</v>
      </c>
      <c r="Z229" s="127">
        <f t="shared" ref="Z229:Z241" si="916">ROUND(C229*17.32%,2)+0.01+0.01</f>
        <v>43.319999999999993</v>
      </c>
      <c r="AA229" s="127">
        <f t="shared" ref="AA229:AA241" si="917">ROUND(D229*4.59%,2)</f>
        <v>0</v>
      </c>
      <c r="AB229" s="127">
        <f t="shared" ref="AB229:AB241" si="918">ROUND(F229*3.57%,2)</f>
        <v>0</v>
      </c>
      <c r="AC229" s="127">
        <f t="shared" ref="AC229:AC241" si="919">ROUND(G229*3.85%,2)</f>
        <v>0</v>
      </c>
      <c r="AD229" s="127">
        <f t="shared" ref="AD229:AD241" si="920">ROUND(I229*16%,2)</f>
        <v>0</v>
      </c>
      <c r="AE229" s="127">
        <f t="shared" ref="AE229:AE241" si="921">ROUND(J229*3.85%,2)</f>
        <v>0</v>
      </c>
      <c r="AF229" s="127">
        <v>0</v>
      </c>
      <c r="AG229" s="127">
        <v>0</v>
      </c>
      <c r="AH229" s="127">
        <f t="shared" ref="AH229:AH239" si="922">ROUND(C229*7.68%,2)</f>
        <v>19.2</v>
      </c>
      <c r="AI229" s="127">
        <f t="shared" ref="AI229:AI236" si="923">ROUND(D229*13.25%,2)</f>
        <v>0</v>
      </c>
      <c r="AJ229" s="127">
        <f t="shared" ref="AJ229:AJ239" si="924">ROUND(F229*21%,2)</f>
        <v>0</v>
      </c>
      <c r="AK229" s="127">
        <f t="shared" ref="AK229:AK270" si="925">ROUND(G229*14%,2)</f>
        <v>0</v>
      </c>
      <c r="AL229" s="127">
        <f t="shared" si="897"/>
        <v>0</v>
      </c>
      <c r="AM229" s="127">
        <f t="shared" ref="AM229:AM241" si="926">ROUND(J229*14%,2)</f>
        <v>0</v>
      </c>
      <c r="AN229" s="127">
        <f t="shared" si="887"/>
        <v>0</v>
      </c>
      <c r="AO229" s="127">
        <f t="shared" si="888"/>
        <v>0</v>
      </c>
      <c r="AP229" s="127">
        <f t="shared" si="889"/>
        <v>62.5</v>
      </c>
      <c r="AQ229" s="127">
        <f t="shared" si="890"/>
        <v>0</v>
      </c>
      <c r="AR229" s="127">
        <f t="shared" si="891"/>
        <v>0</v>
      </c>
      <c r="AS229" s="127">
        <f t="shared" si="892"/>
        <v>0</v>
      </c>
      <c r="AT229" s="127">
        <f t="shared" si="893"/>
        <v>0</v>
      </c>
      <c r="AU229" s="127">
        <f t="shared" si="894"/>
        <v>0</v>
      </c>
      <c r="AV229" s="127">
        <f t="shared" si="895"/>
        <v>0</v>
      </c>
      <c r="AW229" s="127">
        <f t="shared" si="896"/>
        <v>0</v>
      </c>
      <c r="AX229" s="127"/>
      <c r="AY229" s="127"/>
      <c r="AZ229" s="127">
        <f t="shared" si="870"/>
        <v>187.51999999999998</v>
      </c>
      <c r="BA229" s="127">
        <f t="shared" si="832"/>
        <v>0</v>
      </c>
      <c r="BB229" s="127">
        <f t="shared" si="872"/>
        <v>0</v>
      </c>
      <c r="BC229" s="127">
        <f t="shared" si="872"/>
        <v>0</v>
      </c>
      <c r="BD229" s="127">
        <f t="shared" si="871"/>
        <v>0</v>
      </c>
      <c r="BE229" s="127">
        <f t="shared" si="866"/>
        <v>0</v>
      </c>
      <c r="BF229" s="127">
        <f t="shared" si="866"/>
        <v>0</v>
      </c>
      <c r="BG229" s="127">
        <f t="shared" si="866"/>
        <v>0</v>
      </c>
      <c r="BH229" s="2"/>
      <c r="BI229" s="2"/>
      <c r="BJ229" s="2"/>
      <c r="BK229" s="2"/>
    </row>
    <row r="230" spans="1:69" s="6" customFormat="1" ht="20.100000000000001" customHeight="1" x14ac:dyDescent="0.3">
      <c r="A230" s="76"/>
      <c r="B230" s="77" t="s">
        <v>163</v>
      </c>
      <c r="C230" s="78">
        <f>+C228+C229</f>
        <v>1490</v>
      </c>
      <c r="D230" s="78">
        <f t="shared" ref="D230:BN230" si="927">+D228+D229</f>
        <v>240</v>
      </c>
      <c r="E230" s="78" t="e">
        <f t="shared" si="927"/>
        <v>#REF!</v>
      </c>
      <c r="F230" s="78">
        <f t="shared" si="927"/>
        <v>0</v>
      </c>
      <c r="G230" s="78">
        <f t="shared" si="927"/>
        <v>0</v>
      </c>
      <c r="H230" s="78" t="e">
        <f t="shared" si="927"/>
        <v>#REF!</v>
      </c>
      <c r="I230" s="78">
        <f t="shared" si="927"/>
        <v>60</v>
      </c>
      <c r="J230" s="78">
        <f t="shared" si="927"/>
        <v>30</v>
      </c>
      <c r="K230" s="78">
        <f t="shared" si="927"/>
        <v>90</v>
      </c>
      <c r="L230" s="78">
        <f t="shared" si="927"/>
        <v>125</v>
      </c>
      <c r="M230" s="78">
        <f t="shared" si="927"/>
        <v>25</v>
      </c>
      <c r="N230" s="78">
        <f t="shared" si="927"/>
        <v>150</v>
      </c>
      <c r="O230" s="78">
        <f t="shared" si="927"/>
        <v>1675</v>
      </c>
      <c r="P230" s="78">
        <f t="shared" si="927"/>
        <v>295</v>
      </c>
      <c r="Q230" s="78">
        <f t="shared" si="927"/>
        <v>1970</v>
      </c>
      <c r="R230" s="78">
        <f t="shared" si="927"/>
        <v>372.5</v>
      </c>
      <c r="S230" s="78">
        <f t="shared" si="927"/>
        <v>36</v>
      </c>
      <c r="T230" s="78">
        <f t="shared" si="927"/>
        <v>0</v>
      </c>
      <c r="U230" s="78">
        <f t="shared" si="927"/>
        <v>0</v>
      </c>
      <c r="V230" s="78">
        <f t="shared" si="927"/>
        <v>15</v>
      </c>
      <c r="W230" s="78">
        <f t="shared" si="927"/>
        <v>4.5</v>
      </c>
      <c r="X230" s="78">
        <f t="shared" si="927"/>
        <v>31.25</v>
      </c>
      <c r="Y230" s="114">
        <f t="shared" si="927"/>
        <v>3.75</v>
      </c>
      <c r="Z230" s="78">
        <f t="shared" si="927"/>
        <v>258.09000000000003</v>
      </c>
      <c r="AA230" s="78">
        <f t="shared" si="927"/>
        <v>11.02</v>
      </c>
      <c r="AB230" s="78">
        <f t="shared" si="927"/>
        <v>0</v>
      </c>
      <c r="AC230" s="78">
        <f t="shared" si="927"/>
        <v>0</v>
      </c>
      <c r="AD230" s="78">
        <f t="shared" si="927"/>
        <v>9.6</v>
      </c>
      <c r="AE230" s="78">
        <f t="shared" si="927"/>
        <v>1.1499999999999999</v>
      </c>
      <c r="AF230" s="78">
        <f t="shared" si="927"/>
        <v>0</v>
      </c>
      <c r="AG230" s="78">
        <f t="shared" si="927"/>
        <v>0</v>
      </c>
      <c r="AH230" s="78">
        <f t="shared" si="927"/>
        <v>114.43</v>
      </c>
      <c r="AI230" s="78">
        <f t="shared" si="927"/>
        <v>31.830000000000002</v>
      </c>
      <c r="AJ230" s="78">
        <f t="shared" si="927"/>
        <v>0</v>
      </c>
      <c r="AK230" s="78">
        <f t="shared" si="927"/>
        <v>0</v>
      </c>
      <c r="AL230" s="78">
        <f t="shared" si="927"/>
        <v>5.4</v>
      </c>
      <c r="AM230" s="78">
        <f t="shared" si="927"/>
        <v>4.2</v>
      </c>
      <c r="AN230" s="78">
        <f t="shared" si="927"/>
        <v>31.25</v>
      </c>
      <c r="AO230" s="78">
        <f t="shared" si="927"/>
        <v>4.45</v>
      </c>
      <c r="AP230" s="78">
        <f t="shared" si="927"/>
        <v>372.5</v>
      </c>
      <c r="AQ230" s="78">
        <f t="shared" si="927"/>
        <v>67.56</v>
      </c>
      <c r="AR230" s="78">
        <f t="shared" si="927"/>
        <v>0</v>
      </c>
      <c r="AS230" s="78">
        <f t="shared" si="927"/>
        <v>0</v>
      </c>
      <c r="AT230" s="78">
        <f t="shared" si="927"/>
        <v>15</v>
      </c>
      <c r="AU230" s="78">
        <f t="shared" si="927"/>
        <v>8.42</v>
      </c>
      <c r="AV230" s="78">
        <f t="shared" si="927"/>
        <v>31.25</v>
      </c>
      <c r="AW230" s="78">
        <f t="shared" si="927"/>
        <v>7.04</v>
      </c>
      <c r="AX230" s="78">
        <f t="shared" si="927"/>
        <v>0</v>
      </c>
      <c r="AY230" s="78">
        <f t="shared" si="927"/>
        <v>0</v>
      </c>
      <c r="AZ230" s="78">
        <f t="shared" si="927"/>
        <v>1117.52</v>
      </c>
      <c r="BA230" s="78">
        <f t="shared" si="927"/>
        <v>146.41</v>
      </c>
      <c r="BB230" s="78">
        <f t="shared" si="927"/>
        <v>0</v>
      </c>
      <c r="BC230" s="78">
        <f t="shared" si="927"/>
        <v>0</v>
      </c>
      <c r="BD230" s="78">
        <f t="shared" si="927"/>
        <v>45</v>
      </c>
      <c r="BE230" s="78">
        <f t="shared" si="927"/>
        <v>18.270000000000003</v>
      </c>
      <c r="BF230" s="78">
        <f t="shared" si="927"/>
        <v>93.75</v>
      </c>
      <c r="BG230" s="78">
        <f t="shared" si="927"/>
        <v>15.24</v>
      </c>
      <c r="BH230" s="78"/>
      <c r="BI230" s="78"/>
      <c r="BJ230" s="78"/>
      <c r="BK230" s="78"/>
      <c r="BL230" s="78">
        <f t="shared" si="927"/>
        <v>0</v>
      </c>
      <c r="BM230" s="78">
        <f t="shared" si="927"/>
        <v>0</v>
      </c>
      <c r="BN230" s="78">
        <f t="shared" si="927"/>
        <v>0</v>
      </c>
    </row>
    <row r="231" spans="1:69" ht="20.100000000000001" customHeight="1" x14ac:dyDescent="0.3">
      <c r="A231" s="15">
        <v>3</v>
      </c>
      <c r="B231" s="16" t="s">
        <v>165</v>
      </c>
      <c r="C231" s="17">
        <v>880</v>
      </c>
      <c r="D231" s="17">
        <v>240</v>
      </c>
      <c r="E231" s="19" t="e">
        <f>C231+D231+#REF!+#REF!</f>
        <v>#REF!</v>
      </c>
      <c r="F231" s="17">
        <v>100</v>
      </c>
      <c r="G231" s="28">
        <v>50</v>
      </c>
      <c r="H231" s="19" t="e">
        <f>F231+G231+#REF!</f>
        <v>#REF!</v>
      </c>
      <c r="I231" s="17">
        <v>45</v>
      </c>
      <c r="J231" s="17">
        <v>25</v>
      </c>
      <c r="K231" s="19">
        <f t="shared" si="910"/>
        <v>70</v>
      </c>
      <c r="L231" s="28">
        <v>105</v>
      </c>
      <c r="M231" s="28">
        <v>30</v>
      </c>
      <c r="N231" s="19">
        <f t="shared" si="831"/>
        <v>135</v>
      </c>
      <c r="O231" s="19">
        <f t="shared" ref="O231:P236" si="928">C231+F231+I231+L231</f>
        <v>1130</v>
      </c>
      <c r="P231" s="20">
        <f t="shared" si="928"/>
        <v>345</v>
      </c>
      <c r="Q231" s="19">
        <f t="shared" si="817"/>
        <v>1475</v>
      </c>
      <c r="R231" s="17">
        <f t="shared" si="915"/>
        <v>220</v>
      </c>
      <c r="S231" s="17">
        <f t="shared" si="862"/>
        <v>36</v>
      </c>
      <c r="T231" s="17">
        <f t="shared" si="912"/>
        <v>25</v>
      </c>
      <c r="U231" s="17">
        <f t="shared" si="863"/>
        <v>7.5</v>
      </c>
      <c r="V231" s="17">
        <f t="shared" si="913"/>
        <v>11.25</v>
      </c>
      <c r="W231" s="17">
        <f t="shared" si="864"/>
        <v>3.75</v>
      </c>
      <c r="X231" s="17">
        <f t="shared" si="914"/>
        <v>26.25</v>
      </c>
      <c r="Y231" s="113">
        <f t="shared" si="865"/>
        <v>4.5</v>
      </c>
      <c r="Z231" s="127">
        <f>ROUND(C231*17.32%,2)</f>
        <v>152.41999999999999</v>
      </c>
      <c r="AA231" s="127">
        <f t="shared" si="917"/>
        <v>11.02</v>
      </c>
      <c r="AB231" s="127">
        <f t="shared" si="918"/>
        <v>3.57</v>
      </c>
      <c r="AC231" s="127">
        <f>ROUND(G231*3.85%,2)-0.01</f>
        <v>1.92</v>
      </c>
      <c r="AD231" s="127">
        <f t="shared" si="920"/>
        <v>7.2</v>
      </c>
      <c r="AE231" s="127">
        <f>ROUND(J231*3.85%,2)-0.01</f>
        <v>0.95</v>
      </c>
      <c r="AF231" s="127">
        <v>0</v>
      </c>
      <c r="AG231" s="127">
        <v>0</v>
      </c>
      <c r="AH231" s="127">
        <f t="shared" si="922"/>
        <v>67.58</v>
      </c>
      <c r="AI231" s="127">
        <f t="shared" si="923"/>
        <v>31.8</v>
      </c>
      <c r="AJ231" s="127">
        <f>ROUND(F231*21%,2)+0.5</f>
        <v>21.5</v>
      </c>
      <c r="AK231" s="127">
        <f t="shared" si="925"/>
        <v>7</v>
      </c>
      <c r="AL231" s="127">
        <f t="shared" si="897"/>
        <v>4.05</v>
      </c>
      <c r="AM231" s="127">
        <f t="shared" si="926"/>
        <v>3.5</v>
      </c>
      <c r="AN231" s="127">
        <f t="shared" si="887"/>
        <v>26.25</v>
      </c>
      <c r="AO231" s="127">
        <f>ROUND(M231*18%,2)-0.1</f>
        <v>5.3000000000000007</v>
      </c>
      <c r="AP231" s="127">
        <f t="shared" si="889"/>
        <v>220</v>
      </c>
      <c r="AQ231" s="127">
        <f t="shared" si="890"/>
        <v>67.56</v>
      </c>
      <c r="AR231" s="127">
        <f t="shared" si="891"/>
        <v>25</v>
      </c>
      <c r="AS231" s="127">
        <f t="shared" si="892"/>
        <v>14.08</v>
      </c>
      <c r="AT231" s="127">
        <f t="shared" si="893"/>
        <v>11.25</v>
      </c>
      <c r="AU231" s="127">
        <f t="shared" si="894"/>
        <v>7.04</v>
      </c>
      <c r="AV231" s="127">
        <f t="shared" si="895"/>
        <v>26.25</v>
      </c>
      <c r="AW231" s="127">
        <f t="shared" si="896"/>
        <v>8.4499999999999993</v>
      </c>
      <c r="AX231" s="127"/>
      <c r="AY231" s="127"/>
      <c r="AZ231" s="127">
        <f t="shared" si="870"/>
        <v>660</v>
      </c>
      <c r="BA231" s="127">
        <f t="shared" si="832"/>
        <v>146.38</v>
      </c>
      <c r="BB231" s="127">
        <f t="shared" si="872"/>
        <v>75.069999999999993</v>
      </c>
      <c r="BC231" s="127">
        <f t="shared" si="872"/>
        <v>30.5</v>
      </c>
      <c r="BD231" s="127">
        <f t="shared" si="871"/>
        <v>33.75</v>
      </c>
      <c r="BE231" s="127">
        <f t="shared" si="866"/>
        <v>15.239999999999998</v>
      </c>
      <c r="BF231" s="127">
        <f t="shared" si="866"/>
        <v>78.75</v>
      </c>
      <c r="BG231" s="127">
        <f t="shared" si="866"/>
        <v>18.25</v>
      </c>
      <c r="BH231" s="2"/>
      <c r="BI231" s="2"/>
      <c r="BJ231" s="2"/>
      <c r="BK231" s="2"/>
    </row>
    <row r="232" spans="1:69" ht="20.100000000000001" customHeight="1" x14ac:dyDescent="0.3">
      <c r="A232" s="15">
        <v>4</v>
      </c>
      <c r="B232" s="16" t="s">
        <v>166</v>
      </c>
      <c r="C232" s="17">
        <v>1260</v>
      </c>
      <c r="D232" s="17">
        <v>345</v>
      </c>
      <c r="E232" s="19" t="e">
        <f>C232+D232+#REF!+#REF!</f>
        <v>#REF!</v>
      </c>
      <c r="F232" s="17">
        <v>50</v>
      </c>
      <c r="G232" s="28">
        <v>25</v>
      </c>
      <c r="H232" s="19" t="e">
        <f>F232+G232+#REF!</f>
        <v>#REF!</v>
      </c>
      <c r="I232" s="17">
        <v>55</v>
      </c>
      <c r="J232" s="17">
        <v>35</v>
      </c>
      <c r="K232" s="19">
        <f t="shared" si="910"/>
        <v>90</v>
      </c>
      <c r="L232" s="28">
        <v>115</v>
      </c>
      <c r="M232" s="28">
        <v>55</v>
      </c>
      <c r="N232" s="19">
        <f t="shared" si="831"/>
        <v>170</v>
      </c>
      <c r="O232" s="19">
        <f t="shared" si="928"/>
        <v>1480</v>
      </c>
      <c r="P232" s="20">
        <f t="shared" si="928"/>
        <v>460</v>
      </c>
      <c r="Q232" s="19">
        <f t="shared" si="817"/>
        <v>1940</v>
      </c>
      <c r="R232" s="17">
        <f t="shared" si="915"/>
        <v>315</v>
      </c>
      <c r="S232" s="17">
        <f t="shared" si="862"/>
        <v>51.75</v>
      </c>
      <c r="T232" s="17">
        <f t="shared" si="912"/>
        <v>12.5</v>
      </c>
      <c r="U232" s="17">
        <f t="shared" si="863"/>
        <v>3.75</v>
      </c>
      <c r="V232" s="17">
        <f t="shared" si="913"/>
        <v>13.75</v>
      </c>
      <c r="W232" s="17">
        <f t="shared" si="864"/>
        <v>5.25</v>
      </c>
      <c r="X232" s="17">
        <f t="shared" si="914"/>
        <v>28.75</v>
      </c>
      <c r="Y232" s="113">
        <f t="shared" si="865"/>
        <v>8.25</v>
      </c>
      <c r="Z232" s="127">
        <f t="shared" si="916"/>
        <v>218.24999999999997</v>
      </c>
      <c r="AA232" s="127">
        <f t="shared" si="917"/>
        <v>15.84</v>
      </c>
      <c r="AB232" s="127">
        <f t="shared" si="918"/>
        <v>1.79</v>
      </c>
      <c r="AC232" s="127">
        <f t="shared" si="919"/>
        <v>0.96</v>
      </c>
      <c r="AD232" s="127">
        <f t="shared" si="920"/>
        <v>8.8000000000000007</v>
      </c>
      <c r="AE232" s="127">
        <f t="shared" si="921"/>
        <v>1.35</v>
      </c>
      <c r="AF232" s="127">
        <v>0</v>
      </c>
      <c r="AG232" s="127">
        <v>0</v>
      </c>
      <c r="AH232" s="127">
        <f t="shared" si="922"/>
        <v>96.77</v>
      </c>
      <c r="AI232" s="127">
        <f>ROUND(D232*13.25%,2)+0.05</f>
        <v>45.76</v>
      </c>
      <c r="AJ232" s="127">
        <f>ROUND(F232*21%,2)+0.2</f>
        <v>10.7</v>
      </c>
      <c r="AK232" s="127">
        <f t="shared" si="925"/>
        <v>3.5</v>
      </c>
      <c r="AL232" s="127">
        <f t="shared" si="897"/>
        <v>4.95</v>
      </c>
      <c r="AM232" s="127">
        <f t="shared" si="926"/>
        <v>4.9000000000000004</v>
      </c>
      <c r="AN232" s="127">
        <f t="shared" si="887"/>
        <v>28.75</v>
      </c>
      <c r="AO232" s="127">
        <f>ROUND(M232*18%,2)-0.2</f>
        <v>9.7000000000000011</v>
      </c>
      <c r="AP232" s="127">
        <f t="shared" si="889"/>
        <v>315</v>
      </c>
      <c r="AQ232" s="127">
        <f t="shared" si="890"/>
        <v>97.12</v>
      </c>
      <c r="AR232" s="127">
        <f t="shared" si="891"/>
        <v>12.5</v>
      </c>
      <c r="AS232" s="127">
        <f t="shared" si="892"/>
        <v>7.04</v>
      </c>
      <c r="AT232" s="127">
        <f t="shared" si="893"/>
        <v>13.75</v>
      </c>
      <c r="AU232" s="127">
        <f t="shared" si="894"/>
        <v>9.85</v>
      </c>
      <c r="AV232" s="127">
        <f t="shared" si="895"/>
        <v>28.75</v>
      </c>
      <c r="AW232" s="127">
        <f t="shared" si="896"/>
        <v>15.48</v>
      </c>
      <c r="AX232" s="127"/>
      <c r="AY232" s="127"/>
      <c r="AZ232" s="127">
        <f t="shared" si="870"/>
        <v>945.02</v>
      </c>
      <c r="BA232" s="127">
        <f t="shared" si="832"/>
        <v>210.47</v>
      </c>
      <c r="BB232" s="127">
        <f t="shared" si="872"/>
        <v>37.489999999999995</v>
      </c>
      <c r="BC232" s="127">
        <f t="shared" si="872"/>
        <v>15.25</v>
      </c>
      <c r="BD232" s="127">
        <f t="shared" si="871"/>
        <v>41.25</v>
      </c>
      <c r="BE232" s="127">
        <f t="shared" si="866"/>
        <v>21.35</v>
      </c>
      <c r="BF232" s="127">
        <f t="shared" si="866"/>
        <v>86.25</v>
      </c>
      <c r="BG232" s="127">
        <f t="shared" si="866"/>
        <v>33.43</v>
      </c>
      <c r="BH232" s="2"/>
      <c r="BI232" s="2"/>
      <c r="BJ232" s="2"/>
      <c r="BK232" s="2"/>
    </row>
    <row r="233" spans="1:69" ht="20.100000000000001" customHeight="1" x14ac:dyDescent="0.3">
      <c r="A233" s="15">
        <v>5</v>
      </c>
      <c r="B233" s="16" t="s">
        <v>167</v>
      </c>
      <c r="C233" s="17">
        <v>2495</v>
      </c>
      <c r="D233" s="17">
        <v>275</v>
      </c>
      <c r="E233" s="19" t="e">
        <f>C233+D233+#REF!+#REF!</f>
        <v>#REF!</v>
      </c>
      <c r="F233" s="17">
        <v>20</v>
      </c>
      <c r="G233" s="28">
        <v>10</v>
      </c>
      <c r="H233" s="19" t="e">
        <f>F233+G233+#REF!</f>
        <v>#REF!</v>
      </c>
      <c r="I233" s="17">
        <v>95</v>
      </c>
      <c r="J233" s="17">
        <v>50</v>
      </c>
      <c r="K233" s="19">
        <f t="shared" si="910"/>
        <v>145</v>
      </c>
      <c r="L233" s="28">
        <v>175</v>
      </c>
      <c r="M233" s="28">
        <v>100</v>
      </c>
      <c r="N233" s="19">
        <f t="shared" si="831"/>
        <v>275</v>
      </c>
      <c r="O233" s="19">
        <f t="shared" si="928"/>
        <v>2785</v>
      </c>
      <c r="P233" s="20">
        <f t="shared" si="928"/>
        <v>435</v>
      </c>
      <c r="Q233" s="19">
        <f t="shared" si="817"/>
        <v>3220</v>
      </c>
      <c r="R233" s="17">
        <f t="shared" si="915"/>
        <v>623.75</v>
      </c>
      <c r="S233" s="17">
        <f t="shared" si="862"/>
        <v>41.25</v>
      </c>
      <c r="T233" s="17">
        <f t="shared" si="912"/>
        <v>5</v>
      </c>
      <c r="U233" s="17">
        <f t="shared" si="863"/>
        <v>1.5</v>
      </c>
      <c r="V233" s="17">
        <f t="shared" si="913"/>
        <v>23.75</v>
      </c>
      <c r="W233" s="17">
        <f t="shared" si="864"/>
        <v>7.5</v>
      </c>
      <c r="X233" s="17">
        <f t="shared" si="914"/>
        <v>43.75</v>
      </c>
      <c r="Y233" s="113">
        <f t="shared" si="865"/>
        <v>15</v>
      </c>
      <c r="Z233" s="127">
        <f t="shared" si="916"/>
        <v>432.15</v>
      </c>
      <c r="AA233" s="127">
        <f t="shared" si="917"/>
        <v>12.62</v>
      </c>
      <c r="AB233" s="127">
        <f t="shared" si="918"/>
        <v>0.71</v>
      </c>
      <c r="AC233" s="127">
        <f t="shared" si="919"/>
        <v>0.39</v>
      </c>
      <c r="AD233" s="127">
        <f t="shared" si="920"/>
        <v>15.2</v>
      </c>
      <c r="AE233" s="127">
        <f t="shared" si="921"/>
        <v>1.93</v>
      </c>
      <c r="AF233" s="127">
        <v>0</v>
      </c>
      <c r="AG233" s="127">
        <v>0</v>
      </c>
      <c r="AH233" s="127">
        <f t="shared" si="922"/>
        <v>191.62</v>
      </c>
      <c r="AI233" s="127">
        <f t="shared" si="923"/>
        <v>36.44</v>
      </c>
      <c r="AJ233" s="127">
        <f t="shared" si="924"/>
        <v>4.2</v>
      </c>
      <c r="AK233" s="127">
        <f t="shared" si="925"/>
        <v>1.4</v>
      </c>
      <c r="AL233" s="127">
        <f t="shared" si="897"/>
        <v>8.5500000000000007</v>
      </c>
      <c r="AM233" s="127">
        <f t="shared" si="926"/>
        <v>7</v>
      </c>
      <c r="AN233" s="127">
        <f t="shared" si="887"/>
        <v>43.75</v>
      </c>
      <c r="AO233" s="127">
        <f>ROUND(M233*18%,2)-0.2</f>
        <v>17.8</v>
      </c>
      <c r="AP233" s="127">
        <f t="shared" si="889"/>
        <v>623.75</v>
      </c>
      <c r="AQ233" s="127">
        <f t="shared" si="890"/>
        <v>77.41</v>
      </c>
      <c r="AR233" s="127">
        <f t="shared" si="891"/>
        <v>5</v>
      </c>
      <c r="AS233" s="127">
        <f t="shared" si="892"/>
        <v>2.82</v>
      </c>
      <c r="AT233" s="127">
        <f t="shared" si="893"/>
        <v>23.75</v>
      </c>
      <c r="AU233" s="127">
        <f t="shared" si="894"/>
        <v>14.08</v>
      </c>
      <c r="AV233" s="127">
        <f t="shared" si="895"/>
        <v>43.75</v>
      </c>
      <c r="AW233" s="127">
        <f t="shared" si="896"/>
        <v>28.15</v>
      </c>
      <c r="AX233" s="127"/>
      <c r="AY233" s="127"/>
      <c r="AZ233" s="127">
        <f t="shared" si="870"/>
        <v>1871.27</v>
      </c>
      <c r="BA233" s="127">
        <f t="shared" si="832"/>
        <v>167.72</v>
      </c>
      <c r="BB233" s="127">
        <f t="shared" si="872"/>
        <v>14.91</v>
      </c>
      <c r="BC233" s="127">
        <f t="shared" si="872"/>
        <v>6.1099999999999994</v>
      </c>
      <c r="BD233" s="127">
        <f t="shared" si="871"/>
        <v>71.25</v>
      </c>
      <c r="BE233" s="127">
        <f t="shared" si="866"/>
        <v>30.509999999999998</v>
      </c>
      <c r="BF233" s="127">
        <f t="shared" si="866"/>
        <v>131.25</v>
      </c>
      <c r="BG233" s="127">
        <f t="shared" si="866"/>
        <v>60.95</v>
      </c>
      <c r="BH233" s="2"/>
      <c r="BI233" s="2"/>
      <c r="BJ233" s="2"/>
      <c r="BK233" s="2"/>
    </row>
    <row r="234" spans="1:69" ht="20.100000000000001" customHeight="1" x14ac:dyDescent="0.3">
      <c r="A234" s="15">
        <v>6</v>
      </c>
      <c r="B234" s="16" t="s">
        <v>168</v>
      </c>
      <c r="C234" s="17">
        <v>1210</v>
      </c>
      <c r="D234" s="17">
        <v>220</v>
      </c>
      <c r="E234" s="19" t="e">
        <f>C234+D234+#REF!+#REF!</f>
        <v>#REF!</v>
      </c>
      <c r="F234" s="17">
        <v>35</v>
      </c>
      <c r="G234" s="28">
        <v>10</v>
      </c>
      <c r="H234" s="19" t="e">
        <f>F234+G234+#REF!</f>
        <v>#REF!</v>
      </c>
      <c r="I234" s="17">
        <v>50</v>
      </c>
      <c r="J234" s="17">
        <v>30</v>
      </c>
      <c r="K234" s="19">
        <f t="shared" si="910"/>
        <v>80</v>
      </c>
      <c r="L234" s="28">
        <v>100</v>
      </c>
      <c r="M234" s="28">
        <v>55</v>
      </c>
      <c r="N234" s="19">
        <f t="shared" si="831"/>
        <v>155</v>
      </c>
      <c r="O234" s="19">
        <f t="shared" si="928"/>
        <v>1395</v>
      </c>
      <c r="P234" s="20">
        <f t="shared" si="928"/>
        <v>315</v>
      </c>
      <c r="Q234" s="19">
        <f t="shared" si="817"/>
        <v>1710</v>
      </c>
      <c r="R234" s="17">
        <f t="shared" si="915"/>
        <v>302.5</v>
      </c>
      <c r="S234" s="17">
        <f t="shared" si="862"/>
        <v>33</v>
      </c>
      <c r="T234" s="17">
        <f t="shared" si="912"/>
        <v>8.75</v>
      </c>
      <c r="U234" s="17">
        <f t="shared" si="863"/>
        <v>1.5</v>
      </c>
      <c r="V234" s="17">
        <f t="shared" si="913"/>
        <v>12.5</v>
      </c>
      <c r="W234" s="17">
        <f t="shared" si="864"/>
        <v>4.5</v>
      </c>
      <c r="X234" s="17">
        <f t="shared" si="914"/>
        <v>25</v>
      </c>
      <c r="Y234" s="113">
        <f t="shared" si="865"/>
        <v>8.25</v>
      </c>
      <c r="Z234" s="127">
        <f t="shared" si="916"/>
        <v>209.58999999999997</v>
      </c>
      <c r="AA234" s="127">
        <f t="shared" si="917"/>
        <v>10.1</v>
      </c>
      <c r="AB234" s="127">
        <f t="shared" si="918"/>
        <v>1.25</v>
      </c>
      <c r="AC234" s="127">
        <f t="shared" si="919"/>
        <v>0.39</v>
      </c>
      <c r="AD234" s="127">
        <f t="shared" si="920"/>
        <v>8</v>
      </c>
      <c r="AE234" s="127">
        <f t="shared" si="921"/>
        <v>1.1599999999999999</v>
      </c>
      <c r="AF234" s="127">
        <v>0</v>
      </c>
      <c r="AG234" s="127">
        <v>0</v>
      </c>
      <c r="AH234" s="127">
        <f t="shared" si="922"/>
        <v>92.93</v>
      </c>
      <c r="AI234" s="127">
        <f t="shared" si="923"/>
        <v>29.15</v>
      </c>
      <c r="AJ234" s="127">
        <f t="shared" si="924"/>
        <v>7.35</v>
      </c>
      <c r="AK234" s="127">
        <f t="shared" si="925"/>
        <v>1.4</v>
      </c>
      <c r="AL234" s="127">
        <f t="shared" si="897"/>
        <v>4.5</v>
      </c>
      <c r="AM234" s="127">
        <f t="shared" si="926"/>
        <v>4.2</v>
      </c>
      <c r="AN234" s="127">
        <f t="shared" si="887"/>
        <v>25</v>
      </c>
      <c r="AO234" s="127">
        <f t="shared" si="888"/>
        <v>9.9</v>
      </c>
      <c r="AP234" s="127">
        <f t="shared" si="889"/>
        <v>302.5</v>
      </c>
      <c r="AQ234" s="127">
        <f t="shared" si="890"/>
        <v>61.93</v>
      </c>
      <c r="AR234" s="127">
        <f t="shared" si="891"/>
        <v>8.75</v>
      </c>
      <c r="AS234" s="127">
        <f t="shared" si="892"/>
        <v>2.82</v>
      </c>
      <c r="AT234" s="127">
        <f t="shared" si="893"/>
        <v>12.5</v>
      </c>
      <c r="AU234" s="127">
        <f t="shared" si="894"/>
        <v>8.4499999999999993</v>
      </c>
      <c r="AV234" s="127">
        <f t="shared" si="895"/>
        <v>25</v>
      </c>
      <c r="AW234" s="127">
        <f t="shared" si="896"/>
        <v>15.48</v>
      </c>
      <c r="AX234" s="127"/>
      <c r="AY234" s="127"/>
      <c r="AZ234" s="127">
        <f t="shared" si="870"/>
        <v>907.52</v>
      </c>
      <c r="BA234" s="127">
        <f t="shared" si="832"/>
        <v>134.18</v>
      </c>
      <c r="BB234" s="127">
        <f t="shared" si="872"/>
        <v>26.1</v>
      </c>
      <c r="BC234" s="127">
        <f t="shared" si="872"/>
        <v>6.1099999999999994</v>
      </c>
      <c r="BD234" s="127">
        <f t="shared" si="871"/>
        <v>37.5</v>
      </c>
      <c r="BE234" s="127">
        <f t="shared" si="866"/>
        <v>18.309999999999999</v>
      </c>
      <c r="BF234" s="127">
        <f t="shared" si="866"/>
        <v>75</v>
      </c>
      <c r="BG234" s="127">
        <f t="shared" si="866"/>
        <v>33.630000000000003</v>
      </c>
      <c r="BH234" s="2"/>
      <c r="BI234" s="2"/>
      <c r="BJ234" s="2"/>
      <c r="BK234" s="2"/>
    </row>
    <row r="235" spans="1:69" ht="20.100000000000001" customHeight="1" x14ac:dyDescent="0.3">
      <c r="A235" s="15">
        <v>7</v>
      </c>
      <c r="B235" s="16" t="s">
        <v>169</v>
      </c>
      <c r="C235" s="17">
        <v>2070</v>
      </c>
      <c r="D235" s="17">
        <v>265</v>
      </c>
      <c r="E235" s="19" t="e">
        <f>C235+D235+#REF!+#REF!</f>
        <v>#REF!</v>
      </c>
      <c r="F235" s="17">
        <v>0</v>
      </c>
      <c r="G235" s="28">
        <v>0</v>
      </c>
      <c r="H235" s="19" t="e">
        <f>F235+G235+#REF!</f>
        <v>#REF!</v>
      </c>
      <c r="I235" s="17">
        <v>100</v>
      </c>
      <c r="J235" s="17">
        <v>30</v>
      </c>
      <c r="K235" s="19">
        <f t="shared" si="910"/>
        <v>130</v>
      </c>
      <c r="L235" s="28">
        <v>200</v>
      </c>
      <c r="M235" s="28">
        <v>40</v>
      </c>
      <c r="N235" s="19">
        <f t="shared" si="831"/>
        <v>240</v>
      </c>
      <c r="O235" s="19">
        <f t="shared" si="928"/>
        <v>2370</v>
      </c>
      <c r="P235" s="20">
        <f t="shared" si="928"/>
        <v>335</v>
      </c>
      <c r="Q235" s="19">
        <f t="shared" si="817"/>
        <v>2705</v>
      </c>
      <c r="R235" s="17">
        <f t="shared" si="915"/>
        <v>517.5</v>
      </c>
      <c r="S235" s="17">
        <f t="shared" si="862"/>
        <v>39.75</v>
      </c>
      <c r="T235" s="17">
        <f t="shared" si="912"/>
        <v>0</v>
      </c>
      <c r="U235" s="17">
        <f t="shared" si="863"/>
        <v>0</v>
      </c>
      <c r="V235" s="17">
        <f t="shared" si="913"/>
        <v>25</v>
      </c>
      <c r="W235" s="17">
        <f t="shared" si="864"/>
        <v>4.5</v>
      </c>
      <c r="X235" s="17">
        <f t="shared" si="914"/>
        <v>50</v>
      </c>
      <c r="Y235" s="113">
        <f t="shared" si="865"/>
        <v>6</v>
      </c>
      <c r="Z235" s="127">
        <f>ROUND(C235*17.32%,2)</f>
        <v>358.52</v>
      </c>
      <c r="AA235" s="127">
        <f t="shared" si="917"/>
        <v>12.16</v>
      </c>
      <c r="AB235" s="127">
        <f t="shared" si="918"/>
        <v>0</v>
      </c>
      <c r="AC235" s="127">
        <f t="shared" si="919"/>
        <v>0</v>
      </c>
      <c r="AD235" s="127">
        <f t="shared" si="920"/>
        <v>16</v>
      </c>
      <c r="AE235" s="127">
        <f>ROUND(J235*3.85%,2)-0.01</f>
        <v>1.1499999999999999</v>
      </c>
      <c r="AF235" s="127">
        <v>0</v>
      </c>
      <c r="AG235" s="127">
        <v>0</v>
      </c>
      <c r="AH235" s="127">
        <f t="shared" si="922"/>
        <v>158.97999999999999</v>
      </c>
      <c r="AI235" s="127">
        <f>ROUND(D235*13.25%,2)+0.05</f>
        <v>35.159999999999997</v>
      </c>
      <c r="AJ235" s="127">
        <f t="shared" si="924"/>
        <v>0</v>
      </c>
      <c r="AK235" s="127">
        <f t="shared" si="925"/>
        <v>0</v>
      </c>
      <c r="AL235" s="127">
        <f t="shared" si="897"/>
        <v>9</v>
      </c>
      <c r="AM235" s="127">
        <f t="shared" si="926"/>
        <v>4.2</v>
      </c>
      <c r="AN235" s="127">
        <f t="shared" si="887"/>
        <v>50</v>
      </c>
      <c r="AO235" s="127">
        <f t="shared" si="888"/>
        <v>7.2</v>
      </c>
      <c r="AP235" s="127">
        <f t="shared" si="889"/>
        <v>517.5</v>
      </c>
      <c r="AQ235" s="127">
        <f t="shared" si="890"/>
        <v>74.599999999999994</v>
      </c>
      <c r="AR235" s="127">
        <f t="shared" si="891"/>
        <v>0</v>
      </c>
      <c r="AS235" s="127">
        <f t="shared" si="892"/>
        <v>0</v>
      </c>
      <c r="AT235" s="127">
        <f t="shared" si="893"/>
        <v>25</v>
      </c>
      <c r="AU235" s="127">
        <f t="shared" si="894"/>
        <v>8.4499999999999993</v>
      </c>
      <c r="AV235" s="127">
        <f t="shared" si="895"/>
        <v>50</v>
      </c>
      <c r="AW235" s="127">
        <f t="shared" si="896"/>
        <v>11.26</v>
      </c>
      <c r="AX235" s="127"/>
      <c r="AY235" s="127"/>
      <c r="AZ235" s="127">
        <f t="shared" si="870"/>
        <v>1552.5</v>
      </c>
      <c r="BA235" s="127">
        <f t="shared" si="832"/>
        <v>161.66999999999999</v>
      </c>
      <c r="BB235" s="127">
        <f t="shared" si="872"/>
        <v>0</v>
      </c>
      <c r="BC235" s="127">
        <f t="shared" si="872"/>
        <v>0</v>
      </c>
      <c r="BD235" s="127">
        <f t="shared" si="871"/>
        <v>75</v>
      </c>
      <c r="BE235" s="127">
        <f t="shared" si="866"/>
        <v>18.299999999999997</v>
      </c>
      <c r="BF235" s="127">
        <f t="shared" si="866"/>
        <v>150</v>
      </c>
      <c r="BG235" s="127">
        <f t="shared" si="866"/>
        <v>24.46</v>
      </c>
      <c r="BH235" s="2"/>
      <c r="BI235" s="2"/>
      <c r="BJ235" s="2"/>
      <c r="BK235" s="2"/>
    </row>
    <row r="236" spans="1:69" ht="20.100000000000001" customHeight="1" x14ac:dyDescent="0.3">
      <c r="A236" s="15">
        <v>8</v>
      </c>
      <c r="B236" s="16" t="s">
        <v>170</v>
      </c>
      <c r="C236" s="17">
        <v>280</v>
      </c>
      <c r="D236" s="17">
        <v>0</v>
      </c>
      <c r="E236" s="19" t="e">
        <f>C236+D236+#REF!+#REF!</f>
        <v>#REF!</v>
      </c>
      <c r="F236" s="17">
        <v>0</v>
      </c>
      <c r="G236" s="28">
        <v>0</v>
      </c>
      <c r="H236" s="19" t="e">
        <f>F236+G236+#REF!</f>
        <v>#REF!</v>
      </c>
      <c r="I236" s="17">
        <v>0</v>
      </c>
      <c r="J236" s="17">
        <v>0</v>
      </c>
      <c r="K236" s="19">
        <f t="shared" si="910"/>
        <v>0</v>
      </c>
      <c r="L236" s="28">
        <v>0</v>
      </c>
      <c r="M236" s="28">
        <v>0</v>
      </c>
      <c r="N236" s="19">
        <f t="shared" si="831"/>
        <v>0</v>
      </c>
      <c r="O236" s="19">
        <f t="shared" si="928"/>
        <v>280</v>
      </c>
      <c r="P236" s="20">
        <f t="shared" si="928"/>
        <v>0</v>
      </c>
      <c r="Q236" s="19">
        <f t="shared" si="817"/>
        <v>280</v>
      </c>
      <c r="R236" s="17">
        <f t="shared" si="915"/>
        <v>70</v>
      </c>
      <c r="S236" s="17">
        <f t="shared" si="862"/>
        <v>0</v>
      </c>
      <c r="T236" s="17">
        <f t="shared" si="912"/>
        <v>0</v>
      </c>
      <c r="U236" s="17">
        <f t="shared" si="863"/>
        <v>0</v>
      </c>
      <c r="V236" s="17">
        <f t="shared" si="913"/>
        <v>0</v>
      </c>
      <c r="W236" s="17">
        <f t="shared" si="864"/>
        <v>0</v>
      </c>
      <c r="X236" s="17">
        <f t="shared" si="914"/>
        <v>0</v>
      </c>
      <c r="Y236" s="113">
        <f t="shared" si="865"/>
        <v>0</v>
      </c>
      <c r="Z236" s="127">
        <f t="shared" si="916"/>
        <v>48.519999999999996</v>
      </c>
      <c r="AA236" s="127">
        <f t="shared" si="917"/>
        <v>0</v>
      </c>
      <c r="AB236" s="127">
        <f t="shared" si="918"/>
        <v>0</v>
      </c>
      <c r="AC236" s="127">
        <f t="shared" si="919"/>
        <v>0</v>
      </c>
      <c r="AD236" s="127">
        <f t="shared" si="920"/>
        <v>0</v>
      </c>
      <c r="AE236" s="127">
        <f t="shared" si="921"/>
        <v>0</v>
      </c>
      <c r="AF236" s="127">
        <v>0</v>
      </c>
      <c r="AG236" s="127">
        <v>0</v>
      </c>
      <c r="AH236" s="127">
        <f t="shared" si="922"/>
        <v>21.5</v>
      </c>
      <c r="AI236" s="127">
        <f t="shared" si="923"/>
        <v>0</v>
      </c>
      <c r="AJ236" s="127">
        <f t="shared" si="924"/>
        <v>0</v>
      </c>
      <c r="AK236" s="127">
        <f t="shared" si="925"/>
        <v>0</v>
      </c>
      <c r="AL236" s="127">
        <f t="shared" si="897"/>
        <v>0</v>
      </c>
      <c r="AM236" s="127">
        <f t="shared" si="926"/>
        <v>0</v>
      </c>
      <c r="AN236" s="127">
        <f t="shared" si="887"/>
        <v>0</v>
      </c>
      <c r="AO236" s="127">
        <f t="shared" si="888"/>
        <v>0</v>
      </c>
      <c r="AP236" s="127">
        <f t="shared" si="889"/>
        <v>70</v>
      </c>
      <c r="AQ236" s="127">
        <f t="shared" si="890"/>
        <v>0</v>
      </c>
      <c r="AR236" s="127">
        <f t="shared" si="891"/>
        <v>0</v>
      </c>
      <c r="AS236" s="127">
        <f t="shared" si="892"/>
        <v>0</v>
      </c>
      <c r="AT236" s="127">
        <f t="shared" si="893"/>
        <v>0</v>
      </c>
      <c r="AU236" s="127">
        <f t="shared" si="894"/>
        <v>0</v>
      </c>
      <c r="AV236" s="127">
        <f t="shared" si="895"/>
        <v>0</v>
      </c>
      <c r="AW236" s="127">
        <f t="shared" si="896"/>
        <v>0</v>
      </c>
      <c r="AX236" s="127"/>
      <c r="AY236" s="127"/>
      <c r="AZ236" s="127">
        <f t="shared" si="870"/>
        <v>210.01999999999998</v>
      </c>
      <c r="BA236" s="127">
        <f t="shared" si="832"/>
        <v>0</v>
      </c>
      <c r="BB236" s="127">
        <f t="shared" si="872"/>
        <v>0</v>
      </c>
      <c r="BC236" s="127">
        <f t="shared" si="872"/>
        <v>0</v>
      </c>
      <c r="BD236" s="127">
        <f t="shared" si="871"/>
        <v>0</v>
      </c>
      <c r="BE236" s="127">
        <f t="shared" si="866"/>
        <v>0</v>
      </c>
      <c r="BF236" s="127">
        <f t="shared" si="866"/>
        <v>0</v>
      </c>
      <c r="BG236" s="127">
        <f t="shared" si="866"/>
        <v>0</v>
      </c>
      <c r="BH236" s="2"/>
      <c r="BI236" s="2"/>
      <c r="BJ236" s="2"/>
      <c r="BK236" s="2"/>
    </row>
    <row r="237" spans="1:69" s="6" customFormat="1" ht="20.100000000000001" customHeight="1" x14ac:dyDescent="0.3">
      <c r="A237" s="76"/>
      <c r="B237" s="77" t="s">
        <v>169</v>
      </c>
      <c r="C237" s="78">
        <f>+C235+C236</f>
        <v>2350</v>
      </c>
      <c r="D237" s="78">
        <f t="shared" ref="D237:J237" si="929">+D235+D236</f>
        <v>265</v>
      </c>
      <c r="E237" s="78" t="e">
        <f t="shared" si="929"/>
        <v>#REF!</v>
      </c>
      <c r="F237" s="78">
        <f t="shared" si="929"/>
        <v>0</v>
      </c>
      <c r="G237" s="78">
        <f t="shared" si="929"/>
        <v>0</v>
      </c>
      <c r="H237" s="78" t="e">
        <f t="shared" si="929"/>
        <v>#REF!</v>
      </c>
      <c r="I237" s="78">
        <f t="shared" si="929"/>
        <v>100</v>
      </c>
      <c r="J237" s="78">
        <f t="shared" si="929"/>
        <v>30</v>
      </c>
      <c r="K237" s="78">
        <f>+K235+K236</f>
        <v>130</v>
      </c>
      <c r="L237" s="78">
        <f t="shared" ref="L237" si="930">+L235+L236</f>
        <v>200</v>
      </c>
      <c r="M237" s="78">
        <f t="shared" ref="M237:BG237" si="931">+M235+M236</f>
        <v>40</v>
      </c>
      <c r="N237" s="78">
        <f t="shared" si="931"/>
        <v>240</v>
      </c>
      <c r="O237" s="78">
        <f t="shared" si="931"/>
        <v>2650</v>
      </c>
      <c r="P237" s="78">
        <f t="shared" si="931"/>
        <v>335</v>
      </c>
      <c r="Q237" s="78">
        <f t="shared" si="931"/>
        <v>2985</v>
      </c>
      <c r="R237" s="78">
        <f t="shared" si="931"/>
        <v>587.5</v>
      </c>
      <c r="S237" s="78">
        <f t="shared" si="931"/>
        <v>39.75</v>
      </c>
      <c r="T237" s="78">
        <f t="shared" si="931"/>
        <v>0</v>
      </c>
      <c r="U237" s="78">
        <f t="shared" si="931"/>
        <v>0</v>
      </c>
      <c r="V237" s="78">
        <f t="shared" si="931"/>
        <v>25</v>
      </c>
      <c r="W237" s="78">
        <f t="shared" si="931"/>
        <v>4.5</v>
      </c>
      <c r="X237" s="78">
        <f t="shared" si="931"/>
        <v>50</v>
      </c>
      <c r="Y237" s="114">
        <f t="shared" si="931"/>
        <v>6</v>
      </c>
      <c r="Z237" s="78">
        <f t="shared" si="931"/>
        <v>407.03999999999996</v>
      </c>
      <c r="AA237" s="78">
        <f t="shared" si="931"/>
        <v>12.16</v>
      </c>
      <c r="AB237" s="78">
        <f t="shared" si="931"/>
        <v>0</v>
      </c>
      <c r="AC237" s="78">
        <f t="shared" si="931"/>
        <v>0</v>
      </c>
      <c r="AD237" s="78">
        <f t="shared" si="931"/>
        <v>16</v>
      </c>
      <c r="AE237" s="78">
        <f t="shared" si="931"/>
        <v>1.1499999999999999</v>
      </c>
      <c r="AF237" s="78">
        <f t="shared" si="931"/>
        <v>0</v>
      </c>
      <c r="AG237" s="78">
        <f t="shared" si="931"/>
        <v>0</v>
      </c>
      <c r="AH237" s="78">
        <f t="shared" si="931"/>
        <v>180.48</v>
      </c>
      <c r="AI237" s="78">
        <f t="shared" si="931"/>
        <v>35.159999999999997</v>
      </c>
      <c r="AJ237" s="78">
        <f t="shared" si="931"/>
        <v>0</v>
      </c>
      <c r="AK237" s="78">
        <f t="shared" si="931"/>
        <v>0</v>
      </c>
      <c r="AL237" s="78">
        <f t="shared" si="931"/>
        <v>9</v>
      </c>
      <c r="AM237" s="78">
        <f t="shared" si="931"/>
        <v>4.2</v>
      </c>
      <c r="AN237" s="78">
        <f t="shared" si="931"/>
        <v>50</v>
      </c>
      <c r="AO237" s="78">
        <f t="shared" si="931"/>
        <v>7.2</v>
      </c>
      <c r="AP237" s="78">
        <f t="shared" si="931"/>
        <v>587.5</v>
      </c>
      <c r="AQ237" s="78">
        <f t="shared" si="931"/>
        <v>74.599999999999994</v>
      </c>
      <c r="AR237" s="78">
        <f t="shared" si="931"/>
        <v>0</v>
      </c>
      <c r="AS237" s="78">
        <f t="shared" si="931"/>
        <v>0</v>
      </c>
      <c r="AT237" s="78">
        <f t="shared" si="931"/>
        <v>25</v>
      </c>
      <c r="AU237" s="78">
        <f t="shared" si="931"/>
        <v>8.4499999999999993</v>
      </c>
      <c r="AV237" s="78">
        <f t="shared" si="931"/>
        <v>50</v>
      </c>
      <c r="AW237" s="78">
        <f t="shared" si="931"/>
        <v>11.26</v>
      </c>
      <c r="AX237" s="78">
        <f t="shared" si="931"/>
        <v>0</v>
      </c>
      <c r="AY237" s="78">
        <f t="shared" si="931"/>
        <v>0</v>
      </c>
      <c r="AZ237" s="78">
        <f t="shared" si="931"/>
        <v>1762.52</v>
      </c>
      <c r="BA237" s="78">
        <f t="shared" si="931"/>
        <v>161.66999999999999</v>
      </c>
      <c r="BB237" s="78">
        <f t="shared" si="931"/>
        <v>0</v>
      </c>
      <c r="BC237" s="78">
        <f t="shared" si="931"/>
        <v>0</v>
      </c>
      <c r="BD237" s="78">
        <f t="shared" si="931"/>
        <v>75</v>
      </c>
      <c r="BE237" s="78">
        <f t="shared" si="931"/>
        <v>18.299999999999997</v>
      </c>
      <c r="BF237" s="78">
        <f t="shared" si="931"/>
        <v>150</v>
      </c>
      <c r="BG237" s="78">
        <f t="shared" si="931"/>
        <v>24.46</v>
      </c>
      <c r="BH237" s="78"/>
      <c r="BI237" s="78"/>
      <c r="BJ237" s="78"/>
      <c r="BK237" s="78"/>
      <c r="BL237" s="78">
        <f t="shared" ref="BL237:BM237" si="932">+BL235+BL236</f>
        <v>0</v>
      </c>
      <c r="BM237" s="78">
        <f t="shared" si="932"/>
        <v>0</v>
      </c>
    </row>
    <row r="238" spans="1:69" ht="20.100000000000001" customHeight="1" x14ac:dyDescent="0.3">
      <c r="A238" s="15">
        <v>9</v>
      </c>
      <c r="B238" s="16" t="s">
        <v>171</v>
      </c>
      <c r="C238" s="17">
        <v>960</v>
      </c>
      <c r="D238" s="17">
        <v>200</v>
      </c>
      <c r="E238" s="19" t="e">
        <f>C238+D238+#REF!+#REF!</f>
        <v>#REF!</v>
      </c>
      <c r="F238" s="17">
        <v>40</v>
      </c>
      <c r="G238" s="28">
        <v>10</v>
      </c>
      <c r="H238" s="19" t="e">
        <f>F238+G238+#REF!</f>
        <v>#REF!</v>
      </c>
      <c r="I238" s="17">
        <v>45</v>
      </c>
      <c r="J238" s="17">
        <v>20</v>
      </c>
      <c r="K238" s="19">
        <f t="shared" si="910"/>
        <v>65</v>
      </c>
      <c r="L238" s="28">
        <v>95</v>
      </c>
      <c r="M238" s="28">
        <v>40</v>
      </c>
      <c r="N238" s="19">
        <f t="shared" si="831"/>
        <v>135</v>
      </c>
      <c r="O238" s="19">
        <f>C238+F238+I238+L238</f>
        <v>1140</v>
      </c>
      <c r="P238" s="20">
        <f>D238+G238+J238+M238</f>
        <v>270</v>
      </c>
      <c r="Q238" s="19">
        <f t="shared" si="817"/>
        <v>1410</v>
      </c>
      <c r="R238" s="17">
        <f t="shared" si="915"/>
        <v>240</v>
      </c>
      <c r="S238" s="17">
        <f t="shared" si="862"/>
        <v>30</v>
      </c>
      <c r="T238" s="17">
        <f t="shared" si="912"/>
        <v>10</v>
      </c>
      <c r="U238" s="17">
        <f t="shared" si="863"/>
        <v>1.5</v>
      </c>
      <c r="V238" s="17">
        <f t="shared" si="913"/>
        <v>11.25</v>
      </c>
      <c r="W238" s="17">
        <f t="shared" si="864"/>
        <v>3</v>
      </c>
      <c r="X238" s="17">
        <f t="shared" si="914"/>
        <v>23.75</v>
      </c>
      <c r="Y238" s="113">
        <f t="shared" si="865"/>
        <v>6</v>
      </c>
      <c r="Z238" s="127">
        <f t="shared" si="916"/>
        <v>166.29</v>
      </c>
      <c r="AA238" s="127">
        <f t="shared" si="917"/>
        <v>9.18</v>
      </c>
      <c r="AB238" s="127">
        <f t="shared" si="918"/>
        <v>1.43</v>
      </c>
      <c r="AC238" s="127">
        <f>ROUND(G238*3.85%,2)-0.01</f>
        <v>0.38</v>
      </c>
      <c r="AD238" s="127">
        <f t="shared" si="920"/>
        <v>7.2</v>
      </c>
      <c r="AE238" s="127">
        <f t="shared" si="921"/>
        <v>0.77</v>
      </c>
      <c r="AF238" s="127">
        <v>0</v>
      </c>
      <c r="AG238" s="127">
        <v>0</v>
      </c>
      <c r="AH238" s="127">
        <f>ROUND(C238*7.68%,2)-0.06</f>
        <v>73.67</v>
      </c>
      <c r="AI238" s="127">
        <f>ROUND(D238*13.25%,2)</f>
        <v>26.5</v>
      </c>
      <c r="AJ238" s="127">
        <f t="shared" si="924"/>
        <v>8.4</v>
      </c>
      <c r="AK238" s="127">
        <f t="shared" si="925"/>
        <v>1.4</v>
      </c>
      <c r="AL238" s="127">
        <f t="shared" si="897"/>
        <v>4.05</v>
      </c>
      <c r="AM238" s="127">
        <f>ROUND(J238*14%,2)+0.01</f>
        <v>2.8099999999999996</v>
      </c>
      <c r="AN238" s="127">
        <f t="shared" si="887"/>
        <v>23.75</v>
      </c>
      <c r="AO238" s="127">
        <f t="shared" si="888"/>
        <v>7.2</v>
      </c>
      <c r="AP238" s="127">
        <f t="shared" si="889"/>
        <v>240</v>
      </c>
      <c r="AQ238" s="127">
        <f t="shared" si="890"/>
        <v>56.3</v>
      </c>
      <c r="AR238" s="127">
        <f t="shared" si="891"/>
        <v>10</v>
      </c>
      <c r="AS238" s="127">
        <f>ROUND(G238*28.15%,2)-0.02</f>
        <v>2.8</v>
      </c>
      <c r="AT238" s="127">
        <f t="shared" si="893"/>
        <v>11.25</v>
      </c>
      <c r="AU238" s="127">
        <f t="shared" si="894"/>
        <v>5.63</v>
      </c>
      <c r="AV238" s="127">
        <f t="shared" si="895"/>
        <v>23.75</v>
      </c>
      <c r="AW238" s="127">
        <f t="shared" si="896"/>
        <v>11.26</v>
      </c>
      <c r="AX238" s="127"/>
      <c r="AY238" s="127"/>
      <c r="AZ238" s="127">
        <f t="shared" si="870"/>
        <v>719.96</v>
      </c>
      <c r="BA238" s="127">
        <f t="shared" si="832"/>
        <v>121.97999999999999</v>
      </c>
      <c r="BB238" s="127">
        <f t="shared" si="872"/>
        <v>29.83</v>
      </c>
      <c r="BC238" s="127">
        <f t="shared" si="872"/>
        <v>6.0799999999999992</v>
      </c>
      <c r="BD238" s="127">
        <f t="shared" si="871"/>
        <v>33.75</v>
      </c>
      <c r="BE238" s="127">
        <f t="shared" si="866"/>
        <v>12.209999999999999</v>
      </c>
      <c r="BF238" s="127">
        <f t="shared" si="866"/>
        <v>71.25</v>
      </c>
      <c r="BG238" s="127">
        <f t="shared" si="866"/>
        <v>24.46</v>
      </c>
      <c r="BH238" s="2"/>
      <c r="BI238" s="2"/>
      <c r="BJ238" s="2"/>
      <c r="BK238" s="2"/>
    </row>
    <row r="239" spans="1:69" ht="20.100000000000001" customHeight="1" x14ac:dyDescent="0.3">
      <c r="A239" s="15">
        <v>10</v>
      </c>
      <c r="B239" s="16" t="s">
        <v>172</v>
      </c>
      <c r="C239" s="17">
        <v>510</v>
      </c>
      <c r="D239" s="17">
        <v>0</v>
      </c>
      <c r="E239" s="19" t="e">
        <f>C239+D239+#REF!+#REF!</f>
        <v>#REF!</v>
      </c>
      <c r="F239" s="17">
        <v>0</v>
      </c>
      <c r="G239" s="28">
        <v>0</v>
      </c>
      <c r="H239" s="19" t="e">
        <f>F239+G239+#REF!</f>
        <v>#REF!</v>
      </c>
      <c r="I239" s="17">
        <v>0</v>
      </c>
      <c r="J239" s="17">
        <v>0</v>
      </c>
      <c r="K239" s="19">
        <f t="shared" si="910"/>
        <v>0</v>
      </c>
      <c r="L239" s="28">
        <v>0</v>
      </c>
      <c r="M239" s="28">
        <v>0</v>
      </c>
      <c r="N239" s="19">
        <f t="shared" si="831"/>
        <v>0</v>
      </c>
      <c r="O239" s="19">
        <f>C239+F239+I239+L239</f>
        <v>510</v>
      </c>
      <c r="P239" s="20">
        <f>D239+G239+J239+M239</f>
        <v>0</v>
      </c>
      <c r="Q239" s="19">
        <f t="shared" si="817"/>
        <v>510</v>
      </c>
      <c r="R239" s="17">
        <f t="shared" si="915"/>
        <v>127.5</v>
      </c>
      <c r="S239" s="17">
        <f t="shared" si="862"/>
        <v>0</v>
      </c>
      <c r="T239" s="17">
        <f t="shared" si="912"/>
        <v>0</v>
      </c>
      <c r="U239" s="17">
        <f t="shared" si="863"/>
        <v>0</v>
      </c>
      <c r="V239" s="17">
        <f t="shared" si="913"/>
        <v>0</v>
      </c>
      <c r="W239" s="17">
        <f t="shared" si="864"/>
        <v>0</v>
      </c>
      <c r="X239" s="17">
        <f t="shared" si="914"/>
        <v>0</v>
      </c>
      <c r="Y239" s="113">
        <f t="shared" si="865"/>
        <v>0</v>
      </c>
      <c r="Z239" s="127">
        <f t="shared" si="916"/>
        <v>88.350000000000009</v>
      </c>
      <c r="AA239" s="127">
        <f t="shared" si="917"/>
        <v>0</v>
      </c>
      <c r="AB239" s="127">
        <f t="shared" si="918"/>
        <v>0</v>
      </c>
      <c r="AC239" s="127">
        <f t="shared" si="919"/>
        <v>0</v>
      </c>
      <c r="AD239" s="127">
        <f t="shared" si="920"/>
        <v>0</v>
      </c>
      <c r="AE239" s="127">
        <f t="shared" si="921"/>
        <v>0</v>
      </c>
      <c r="AF239" s="127">
        <v>0</v>
      </c>
      <c r="AG239" s="127">
        <v>0</v>
      </c>
      <c r="AH239" s="127">
        <f t="shared" si="922"/>
        <v>39.17</v>
      </c>
      <c r="AI239" s="127">
        <f t="shared" ref="AI239" si="933">ROUND(D239*13.25%,2)</f>
        <v>0</v>
      </c>
      <c r="AJ239" s="127">
        <f t="shared" si="924"/>
        <v>0</v>
      </c>
      <c r="AK239" s="127">
        <f t="shared" si="925"/>
        <v>0</v>
      </c>
      <c r="AL239" s="127">
        <f t="shared" si="897"/>
        <v>0</v>
      </c>
      <c r="AM239" s="127">
        <f t="shared" si="926"/>
        <v>0</v>
      </c>
      <c r="AN239" s="127">
        <f t="shared" si="887"/>
        <v>0</v>
      </c>
      <c r="AO239" s="127">
        <f t="shared" si="888"/>
        <v>0</v>
      </c>
      <c r="AP239" s="127">
        <f t="shared" si="889"/>
        <v>127.5</v>
      </c>
      <c r="AQ239" s="127">
        <f t="shared" si="890"/>
        <v>0</v>
      </c>
      <c r="AR239" s="127">
        <f t="shared" si="891"/>
        <v>0</v>
      </c>
      <c r="AS239" s="127">
        <f t="shared" si="892"/>
        <v>0</v>
      </c>
      <c r="AT239" s="127">
        <f t="shared" si="893"/>
        <v>0</v>
      </c>
      <c r="AU239" s="127">
        <f t="shared" si="894"/>
        <v>0</v>
      </c>
      <c r="AV239" s="127">
        <f t="shared" si="895"/>
        <v>0</v>
      </c>
      <c r="AW239" s="127">
        <f t="shared" si="896"/>
        <v>0</v>
      </c>
      <c r="AX239" s="127"/>
      <c r="AY239" s="127"/>
      <c r="AZ239" s="127">
        <f t="shared" si="870"/>
        <v>382.52000000000004</v>
      </c>
      <c r="BA239" s="127">
        <f t="shared" si="832"/>
        <v>0</v>
      </c>
      <c r="BB239" s="127">
        <f t="shared" si="872"/>
        <v>0</v>
      </c>
      <c r="BC239" s="127">
        <f t="shared" si="872"/>
        <v>0</v>
      </c>
      <c r="BD239" s="127">
        <f t="shared" si="871"/>
        <v>0</v>
      </c>
      <c r="BE239" s="127">
        <f t="shared" si="866"/>
        <v>0</v>
      </c>
      <c r="BF239" s="127">
        <f t="shared" si="866"/>
        <v>0</v>
      </c>
      <c r="BG239" s="127">
        <f t="shared" si="866"/>
        <v>0</v>
      </c>
      <c r="BH239" s="2"/>
      <c r="BI239" s="2"/>
      <c r="BJ239" s="2"/>
      <c r="BK239" s="2"/>
    </row>
    <row r="240" spans="1:69" s="6" customFormat="1" ht="20.100000000000001" customHeight="1" x14ac:dyDescent="0.3">
      <c r="A240" s="76"/>
      <c r="B240" s="77" t="s">
        <v>171</v>
      </c>
      <c r="C240" s="78">
        <f>+C238+C239</f>
        <v>1470</v>
      </c>
      <c r="D240" s="78">
        <f t="shared" ref="D240:I240" si="934">+D238+D239</f>
        <v>200</v>
      </c>
      <c r="E240" s="78" t="e">
        <f t="shared" si="934"/>
        <v>#REF!</v>
      </c>
      <c r="F240" s="78">
        <f t="shared" si="934"/>
        <v>40</v>
      </c>
      <c r="G240" s="78">
        <f t="shared" si="934"/>
        <v>10</v>
      </c>
      <c r="H240" s="78" t="e">
        <f t="shared" si="934"/>
        <v>#REF!</v>
      </c>
      <c r="I240" s="78">
        <f t="shared" si="934"/>
        <v>45</v>
      </c>
      <c r="J240" s="78">
        <f>+J238+J239</f>
        <v>20</v>
      </c>
      <c r="K240" s="78">
        <f t="shared" ref="K240" si="935">+K238+K239</f>
        <v>65</v>
      </c>
      <c r="L240" s="78">
        <f t="shared" ref="L240" si="936">+L238+L239</f>
        <v>95</v>
      </c>
      <c r="M240" s="78">
        <f t="shared" ref="M240:BG240" si="937">+M238+M239</f>
        <v>40</v>
      </c>
      <c r="N240" s="78">
        <f t="shared" si="937"/>
        <v>135</v>
      </c>
      <c r="O240" s="78">
        <f t="shared" si="937"/>
        <v>1650</v>
      </c>
      <c r="P240" s="78">
        <f t="shared" si="937"/>
        <v>270</v>
      </c>
      <c r="Q240" s="78">
        <f t="shared" si="937"/>
        <v>1920</v>
      </c>
      <c r="R240" s="78">
        <f t="shared" si="937"/>
        <v>367.5</v>
      </c>
      <c r="S240" s="78">
        <f t="shared" si="937"/>
        <v>30</v>
      </c>
      <c r="T240" s="78">
        <f t="shared" si="937"/>
        <v>10</v>
      </c>
      <c r="U240" s="78">
        <f t="shared" si="937"/>
        <v>1.5</v>
      </c>
      <c r="V240" s="78">
        <f t="shared" si="937"/>
        <v>11.25</v>
      </c>
      <c r="W240" s="78">
        <f t="shared" si="937"/>
        <v>3</v>
      </c>
      <c r="X240" s="78">
        <f t="shared" si="937"/>
        <v>23.75</v>
      </c>
      <c r="Y240" s="114">
        <f t="shared" si="937"/>
        <v>6</v>
      </c>
      <c r="Z240" s="78">
        <f t="shared" si="937"/>
        <v>254.64</v>
      </c>
      <c r="AA240" s="78">
        <f t="shared" si="937"/>
        <v>9.18</v>
      </c>
      <c r="AB240" s="78">
        <f t="shared" si="937"/>
        <v>1.43</v>
      </c>
      <c r="AC240" s="78">
        <f t="shared" si="937"/>
        <v>0.38</v>
      </c>
      <c r="AD240" s="78">
        <f t="shared" si="937"/>
        <v>7.2</v>
      </c>
      <c r="AE240" s="78">
        <f t="shared" si="937"/>
        <v>0.77</v>
      </c>
      <c r="AF240" s="78">
        <f t="shared" si="937"/>
        <v>0</v>
      </c>
      <c r="AG240" s="78">
        <f t="shared" si="937"/>
        <v>0</v>
      </c>
      <c r="AH240" s="78">
        <f t="shared" si="937"/>
        <v>112.84</v>
      </c>
      <c r="AI240" s="78">
        <f t="shared" si="937"/>
        <v>26.5</v>
      </c>
      <c r="AJ240" s="78">
        <f t="shared" si="937"/>
        <v>8.4</v>
      </c>
      <c r="AK240" s="78">
        <f t="shared" si="937"/>
        <v>1.4</v>
      </c>
      <c r="AL240" s="78">
        <f t="shared" si="937"/>
        <v>4.05</v>
      </c>
      <c r="AM240" s="78">
        <f t="shared" si="937"/>
        <v>2.8099999999999996</v>
      </c>
      <c r="AN240" s="78">
        <f t="shared" si="937"/>
        <v>23.75</v>
      </c>
      <c r="AO240" s="78">
        <f t="shared" si="937"/>
        <v>7.2</v>
      </c>
      <c r="AP240" s="78">
        <f t="shared" si="937"/>
        <v>367.5</v>
      </c>
      <c r="AQ240" s="78">
        <f t="shared" si="937"/>
        <v>56.3</v>
      </c>
      <c r="AR240" s="78">
        <f t="shared" si="937"/>
        <v>10</v>
      </c>
      <c r="AS240" s="78">
        <f t="shared" si="937"/>
        <v>2.8</v>
      </c>
      <c r="AT240" s="78">
        <f t="shared" si="937"/>
        <v>11.25</v>
      </c>
      <c r="AU240" s="78">
        <f t="shared" si="937"/>
        <v>5.63</v>
      </c>
      <c r="AV240" s="78">
        <f t="shared" si="937"/>
        <v>23.75</v>
      </c>
      <c r="AW240" s="78">
        <f t="shared" si="937"/>
        <v>11.26</v>
      </c>
      <c r="AX240" s="78">
        <f t="shared" si="937"/>
        <v>0</v>
      </c>
      <c r="AY240" s="78">
        <f t="shared" si="937"/>
        <v>0</v>
      </c>
      <c r="AZ240" s="78">
        <f t="shared" si="937"/>
        <v>1102.48</v>
      </c>
      <c r="BA240" s="78">
        <f t="shared" si="937"/>
        <v>121.97999999999999</v>
      </c>
      <c r="BB240" s="78">
        <f t="shared" si="937"/>
        <v>29.83</v>
      </c>
      <c r="BC240" s="78">
        <f t="shared" si="937"/>
        <v>6.0799999999999992</v>
      </c>
      <c r="BD240" s="78">
        <f t="shared" si="937"/>
        <v>33.75</v>
      </c>
      <c r="BE240" s="78">
        <f t="shared" si="937"/>
        <v>12.209999999999999</v>
      </c>
      <c r="BF240" s="78">
        <f t="shared" si="937"/>
        <v>71.25</v>
      </c>
      <c r="BG240" s="78">
        <f t="shared" si="937"/>
        <v>24.46</v>
      </c>
      <c r="BH240" s="78"/>
      <c r="BI240" s="78"/>
      <c r="BJ240" s="78"/>
      <c r="BK240" s="78"/>
      <c r="BL240" s="78">
        <f t="shared" ref="BL240:BQ240" si="938">+BL238+BL239</f>
        <v>0</v>
      </c>
      <c r="BM240" s="78">
        <f t="shared" si="938"/>
        <v>0</v>
      </c>
      <c r="BN240" s="78">
        <f t="shared" si="938"/>
        <v>0</v>
      </c>
      <c r="BO240" s="78">
        <f t="shared" si="938"/>
        <v>0</v>
      </c>
      <c r="BP240" s="78">
        <f t="shared" si="938"/>
        <v>0</v>
      </c>
      <c r="BQ240" s="78">
        <f t="shared" si="938"/>
        <v>0</v>
      </c>
    </row>
    <row r="241" spans="1:70" ht="20.100000000000001" customHeight="1" x14ac:dyDescent="0.3">
      <c r="A241" s="15">
        <v>11</v>
      </c>
      <c r="B241" s="16" t="s">
        <v>173</v>
      </c>
      <c r="C241" s="17">
        <v>530</v>
      </c>
      <c r="D241" s="17">
        <v>100</v>
      </c>
      <c r="E241" s="19" t="e">
        <f>C241+D241+#REF!+#REF!</f>
        <v>#REF!</v>
      </c>
      <c r="F241" s="17">
        <v>35</v>
      </c>
      <c r="G241" s="28">
        <v>15</v>
      </c>
      <c r="H241" s="19" t="e">
        <f>F241+G241+#REF!</f>
        <v>#REF!</v>
      </c>
      <c r="I241" s="17">
        <v>20</v>
      </c>
      <c r="J241" s="17">
        <v>10</v>
      </c>
      <c r="K241" s="19">
        <f t="shared" si="910"/>
        <v>30</v>
      </c>
      <c r="L241" s="28">
        <v>50</v>
      </c>
      <c r="M241" s="28">
        <v>20</v>
      </c>
      <c r="N241" s="19">
        <f t="shared" si="831"/>
        <v>70</v>
      </c>
      <c r="O241" s="19">
        <f>C241+F241+I241+L241</f>
        <v>635</v>
      </c>
      <c r="P241" s="20">
        <f>D241+G241+J241+M241</f>
        <v>145</v>
      </c>
      <c r="Q241" s="19">
        <f t="shared" si="817"/>
        <v>780</v>
      </c>
      <c r="R241" s="17">
        <f t="shared" si="915"/>
        <v>132.5</v>
      </c>
      <c r="S241" s="17">
        <f t="shared" si="862"/>
        <v>15</v>
      </c>
      <c r="T241" s="17">
        <f t="shared" si="912"/>
        <v>8.75</v>
      </c>
      <c r="U241" s="17">
        <f t="shared" si="863"/>
        <v>2.25</v>
      </c>
      <c r="V241" s="17">
        <f t="shared" si="913"/>
        <v>5</v>
      </c>
      <c r="W241" s="17">
        <f t="shared" si="864"/>
        <v>1.5</v>
      </c>
      <c r="X241" s="17">
        <f t="shared" si="914"/>
        <v>12.5</v>
      </c>
      <c r="Y241" s="113">
        <f t="shared" si="865"/>
        <v>3</v>
      </c>
      <c r="Z241" s="127">
        <f t="shared" si="916"/>
        <v>91.820000000000007</v>
      </c>
      <c r="AA241" s="127">
        <f t="shared" si="917"/>
        <v>4.59</v>
      </c>
      <c r="AB241" s="127">
        <f t="shared" si="918"/>
        <v>1.25</v>
      </c>
      <c r="AC241" s="127">
        <f t="shared" si="919"/>
        <v>0.57999999999999996</v>
      </c>
      <c r="AD241" s="127">
        <f t="shared" si="920"/>
        <v>3.2</v>
      </c>
      <c r="AE241" s="127">
        <f t="shared" si="921"/>
        <v>0.39</v>
      </c>
      <c r="AF241" s="127">
        <v>0</v>
      </c>
      <c r="AG241" s="127">
        <v>0</v>
      </c>
      <c r="AH241" s="127">
        <f>ROUND(C241*7.68%,2)-0.1</f>
        <v>40.6</v>
      </c>
      <c r="AI241" s="127">
        <f>ROUND(D241*13.25%,2)+0.05</f>
        <v>13.3</v>
      </c>
      <c r="AJ241" s="127">
        <f>ROUND(F241*21%,2)+0.5</f>
        <v>7.85</v>
      </c>
      <c r="AK241" s="127">
        <f t="shared" si="925"/>
        <v>2.1</v>
      </c>
      <c r="AL241" s="127">
        <f t="shared" si="897"/>
        <v>1.8</v>
      </c>
      <c r="AM241" s="127">
        <f t="shared" si="926"/>
        <v>1.4</v>
      </c>
      <c r="AN241" s="127">
        <f t="shared" si="887"/>
        <v>12.5</v>
      </c>
      <c r="AO241" s="127">
        <f t="shared" si="888"/>
        <v>3.6</v>
      </c>
      <c r="AP241" s="127">
        <f t="shared" si="889"/>
        <v>132.5</v>
      </c>
      <c r="AQ241" s="127">
        <f t="shared" si="890"/>
        <v>28.15</v>
      </c>
      <c r="AR241" s="127">
        <f t="shared" si="891"/>
        <v>8.75</v>
      </c>
      <c r="AS241" s="127">
        <f t="shared" si="892"/>
        <v>4.22</v>
      </c>
      <c r="AT241" s="127">
        <f t="shared" si="893"/>
        <v>5</v>
      </c>
      <c r="AU241" s="127">
        <f t="shared" si="894"/>
        <v>2.82</v>
      </c>
      <c r="AV241" s="127">
        <f t="shared" si="895"/>
        <v>12.5</v>
      </c>
      <c r="AW241" s="127">
        <f t="shared" si="896"/>
        <v>5.63</v>
      </c>
      <c r="AX241" s="127"/>
      <c r="AY241" s="127"/>
      <c r="AZ241" s="127">
        <f t="shared" si="870"/>
        <v>397.42</v>
      </c>
      <c r="BA241" s="127">
        <f t="shared" si="832"/>
        <v>61.040000000000006</v>
      </c>
      <c r="BB241" s="127">
        <f t="shared" si="872"/>
        <v>26.6</v>
      </c>
      <c r="BC241" s="127">
        <f t="shared" si="872"/>
        <v>9.15</v>
      </c>
      <c r="BD241" s="127">
        <f t="shared" si="871"/>
        <v>15</v>
      </c>
      <c r="BE241" s="127">
        <f t="shared" si="866"/>
        <v>6.1099999999999994</v>
      </c>
      <c r="BF241" s="127">
        <f t="shared" si="866"/>
        <v>37.5</v>
      </c>
      <c r="BG241" s="127">
        <f t="shared" si="866"/>
        <v>12.23</v>
      </c>
      <c r="BH241" s="2"/>
      <c r="BI241" s="2"/>
      <c r="BJ241" s="2"/>
      <c r="BK241" s="2"/>
    </row>
    <row r="242" spans="1:70" s="34" customFormat="1" ht="20.100000000000001" customHeight="1" x14ac:dyDescent="0.3">
      <c r="A242" s="31"/>
      <c r="B242" s="32" t="s">
        <v>174</v>
      </c>
      <c r="C242" s="33">
        <f>+C241+C240+C237+C234+C233+C232+C231+C230</f>
        <v>11685</v>
      </c>
      <c r="D242" s="33">
        <f t="shared" ref="D242:BG242" si="939">+D241+D240+D237+D234+D233+D232+D231+D230</f>
        <v>1885</v>
      </c>
      <c r="E242" s="33" t="e">
        <f t="shared" si="939"/>
        <v>#REF!</v>
      </c>
      <c r="F242" s="33">
        <f t="shared" si="939"/>
        <v>280</v>
      </c>
      <c r="G242" s="33">
        <f t="shared" si="939"/>
        <v>120</v>
      </c>
      <c r="H242" s="33" t="e">
        <f t="shared" si="939"/>
        <v>#REF!</v>
      </c>
      <c r="I242" s="33">
        <f t="shared" si="939"/>
        <v>470</v>
      </c>
      <c r="J242" s="33">
        <f t="shared" si="939"/>
        <v>230</v>
      </c>
      <c r="K242" s="33">
        <f t="shared" si="939"/>
        <v>700</v>
      </c>
      <c r="L242" s="33">
        <f t="shared" si="939"/>
        <v>965</v>
      </c>
      <c r="M242" s="33">
        <f t="shared" si="939"/>
        <v>365</v>
      </c>
      <c r="N242" s="33">
        <f t="shared" si="939"/>
        <v>1330</v>
      </c>
      <c r="O242" s="33">
        <f t="shared" si="939"/>
        <v>13400</v>
      </c>
      <c r="P242" s="33">
        <f t="shared" si="939"/>
        <v>2600</v>
      </c>
      <c r="Q242" s="33">
        <f t="shared" si="939"/>
        <v>16000</v>
      </c>
      <c r="R242" s="33">
        <f t="shared" si="939"/>
        <v>2921.25</v>
      </c>
      <c r="S242" s="33">
        <f t="shared" si="939"/>
        <v>282.75</v>
      </c>
      <c r="T242" s="33">
        <f t="shared" si="939"/>
        <v>70</v>
      </c>
      <c r="U242" s="33">
        <f t="shared" si="939"/>
        <v>18</v>
      </c>
      <c r="V242" s="33">
        <f t="shared" si="939"/>
        <v>117.5</v>
      </c>
      <c r="W242" s="33">
        <f t="shared" si="939"/>
        <v>34.5</v>
      </c>
      <c r="X242" s="33">
        <f t="shared" si="939"/>
        <v>241.25</v>
      </c>
      <c r="Y242" s="117">
        <f t="shared" si="939"/>
        <v>54.75</v>
      </c>
      <c r="Z242" s="33">
        <f t="shared" si="939"/>
        <v>2024</v>
      </c>
      <c r="AA242" s="33">
        <f t="shared" si="939"/>
        <v>86.529999999999987</v>
      </c>
      <c r="AB242" s="33">
        <f t="shared" si="939"/>
        <v>10</v>
      </c>
      <c r="AC242" s="33">
        <f t="shared" si="939"/>
        <v>4.62</v>
      </c>
      <c r="AD242" s="33">
        <f t="shared" si="939"/>
        <v>75.199999999999989</v>
      </c>
      <c r="AE242" s="33">
        <f t="shared" si="939"/>
        <v>8.85</v>
      </c>
      <c r="AF242" s="33">
        <f t="shared" si="939"/>
        <v>0</v>
      </c>
      <c r="AG242" s="33">
        <f t="shared" si="939"/>
        <v>0</v>
      </c>
      <c r="AH242" s="33">
        <f t="shared" si="939"/>
        <v>897.25</v>
      </c>
      <c r="AI242" s="33">
        <f t="shared" si="939"/>
        <v>249.94</v>
      </c>
      <c r="AJ242" s="33">
        <f t="shared" si="939"/>
        <v>60</v>
      </c>
      <c r="AK242" s="33">
        <f t="shared" si="939"/>
        <v>16.8</v>
      </c>
      <c r="AL242" s="33">
        <f t="shared" si="939"/>
        <v>42.3</v>
      </c>
      <c r="AM242" s="33">
        <f t="shared" si="939"/>
        <v>32.21</v>
      </c>
      <c r="AN242" s="33">
        <f t="shared" si="939"/>
        <v>241.25</v>
      </c>
      <c r="AO242" s="33">
        <f t="shared" si="939"/>
        <v>65.150000000000006</v>
      </c>
      <c r="AP242" s="33">
        <f t="shared" si="939"/>
        <v>2921.25</v>
      </c>
      <c r="AQ242" s="33">
        <f t="shared" si="939"/>
        <v>530.63</v>
      </c>
      <c r="AR242" s="33">
        <f t="shared" si="939"/>
        <v>70</v>
      </c>
      <c r="AS242" s="33">
        <f t="shared" si="939"/>
        <v>33.78</v>
      </c>
      <c r="AT242" s="33">
        <f t="shared" si="939"/>
        <v>117.5</v>
      </c>
      <c r="AU242" s="33">
        <f t="shared" si="939"/>
        <v>64.739999999999995</v>
      </c>
      <c r="AV242" s="33">
        <f t="shared" si="939"/>
        <v>241.25</v>
      </c>
      <c r="AW242" s="33">
        <f t="shared" si="939"/>
        <v>102.75000000000001</v>
      </c>
      <c r="AX242" s="33">
        <f t="shared" si="939"/>
        <v>0</v>
      </c>
      <c r="AY242" s="33">
        <f t="shared" si="939"/>
        <v>0</v>
      </c>
      <c r="AZ242" s="33">
        <f t="shared" si="939"/>
        <v>8763.7500000000018</v>
      </c>
      <c r="BA242" s="33">
        <f t="shared" si="939"/>
        <v>1149.8499999999999</v>
      </c>
      <c r="BB242" s="33">
        <f t="shared" si="939"/>
        <v>210</v>
      </c>
      <c r="BC242" s="33">
        <f t="shared" si="939"/>
        <v>73.2</v>
      </c>
      <c r="BD242" s="33">
        <f t="shared" si="939"/>
        <v>352.5</v>
      </c>
      <c r="BE242" s="33">
        <f t="shared" si="939"/>
        <v>140.29999999999998</v>
      </c>
      <c r="BF242" s="33">
        <f t="shared" si="939"/>
        <v>723.75</v>
      </c>
      <c r="BG242" s="33">
        <f t="shared" si="939"/>
        <v>222.65000000000003</v>
      </c>
      <c r="BH242" s="33"/>
      <c r="BI242" s="33"/>
      <c r="BJ242" s="33"/>
      <c r="BK242" s="33"/>
    </row>
    <row r="243" spans="1:70" ht="20.100000000000001" customHeight="1" x14ac:dyDescent="0.3">
      <c r="A243" s="15">
        <v>1</v>
      </c>
      <c r="B243" s="16" t="s">
        <v>175</v>
      </c>
      <c r="C243" s="17">
        <v>683</v>
      </c>
      <c r="D243" s="17">
        <v>130</v>
      </c>
      <c r="E243" s="19" t="e">
        <f>C243+D243+#REF!+#REF!</f>
        <v>#REF!</v>
      </c>
      <c r="F243" s="17">
        <v>0</v>
      </c>
      <c r="G243" s="28">
        <v>0</v>
      </c>
      <c r="H243" s="19" t="e">
        <f>F243+G243+#REF!</f>
        <v>#REF!</v>
      </c>
      <c r="I243" s="17">
        <v>0</v>
      </c>
      <c r="J243" s="17">
        <v>0</v>
      </c>
      <c r="K243" s="19">
        <f t="shared" ref="K243:K263" si="940">I243+J243</f>
        <v>0</v>
      </c>
      <c r="L243" s="28">
        <v>74</v>
      </c>
      <c r="M243" s="28">
        <v>27</v>
      </c>
      <c r="N243" s="19">
        <f t="shared" si="831"/>
        <v>101</v>
      </c>
      <c r="O243" s="19">
        <f t="shared" ref="O243:P249" si="941">C243+F243+I243+L243</f>
        <v>757</v>
      </c>
      <c r="P243" s="20">
        <f t="shared" si="941"/>
        <v>157</v>
      </c>
      <c r="Q243" s="19">
        <f t="shared" si="817"/>
        <v>914</v>
      </c>
      <c r="R243" s="17">
        <f t="shared" ref="R243" si="942">ROUND(C243*0.25,2)</f>
        <v>170.75</v>
      </c>
      <c r="S243" s="17">
        <f t="shared" si="862"/>
        <v>19.5</v>
      </c>
      <c r="T243" s="17">
        <f t="shared" ref="T243:T263" si="943">ROUND(F243*0.25,2)</f>
        <v>0</v>
      </c>
      <c r="U243" s="17">
        <f t="shared" si="863"/>
        <v>0</v>
      </c>
      <c r="V243" s="17">
        <f t="shared" ref="V243:V263" si="944">ROUND(I243*0.25,2)</f>
        <v>0</v>
      </c>
      <c r="W243" s="17">
        <f t="shared" si="864"/>
        <v>0</v>
      </c>
      <c r="X243" s="17">
        <v>16</v>
      </c>
      <c r="Y243" s="113">
        <f t="shared" si="865"/>
        <v>4.05</v>
      </c>
      <c r="Z243" s="127">
        <f>ROUND(C243*17.23%,2)</f>
        <v>117.68</v>
      </c>
      <c r="AA243" s="127">
        <f>ROUND(D243*4.05%,2)-0.01</f>
        <v>5.26</v>
      </c>
      <c r="AB243" s="127">
        <f>ROUND(F243*5.82%,2)</f>
        <v>0</v>
      </c>
      <c r="AC243" s="127">
        <f>ROUND(G243*3.45%,2)</f>
        <v>0</v>
      </c>
      <c r="AD243" s="127">
        <f t="shared" si="907"/>
        <v>0</v>
      </c>
      <c r="AE243" s="127">
        <f t="shared" si="908"/>
        <v>0</v>
      </c>
      <c r="AF243" s="127">
        <v>0</v>
      </c>
      <c r="AG243" s="127">
        <v>0</v>
      </c>
      <c r="AH243" s="127">
        <f>ROUND(C243*7.8%,2)-0.35</f>
        <v>52.92</v>
      </c>
      <c r="AI243" s="127">
        <f>ROUND(D243*14%,2)-1</f>
        <v>17.2</v>
      </c>
      <c r="AJ243" s="127">
        <f>ROUND(F243*19%,2)</f>
        <v>0</v>
      </c>
      <c r="AK243" s="127">
        <f t="shared" si="925"/>
        <v>0</v>
      </c>
      <c r="AL243" s="127">
        <v>0</v>
      </c>
      <c r="AM243" s="127">
        <v>0</v>
      </c>
      <c r="AN243" s="127">
        <f>ROUND(L243*50%-X243,2)</f>
        <v>21</v>
      </c>
      <c r="AO243" s="127">
        <f>ROUND(M243*18%,2)-0.05</f>
        <v>4.8100000000000005</v>
      </c>
      <c r="AP243" s="127">
        <f t="shared" si="889"/>
        <v>170.75</v>
      </c>
      <c r="AQ243" s="127">
        <f t="shared" si="890"/>
        <v>36.6</v>
      </c>
      <c r="AR243" s="127">
        <f t="shared" si="891"/>
        <v>0</v>
      </c>
      <c r="AS243" s="127">
        <f t="shared" si="892"/>
        <v>0</v>
      </c>
      <c r="AT243" s="127">
        <f t="shared" si="893"/>
        <v>0</v>
      </c>
      <c r="AU243" s="127">
        <f t="shared" si="894"/>
        <v>0</v>
      </c>
      <c r="AV243" s="127">
        <f t="shared" si="895"/>
        <v>18.5</v>
      </c>
      <c r="AW243" s="127">
        <f t="shared" si="896"/>
        <v>7.6</v>
      </c>
      <c r="AX243" s="127"/>
      <c r="AY243" s="127"/>
      <c r="AZ243" s="127">
        <f t="shared" si="870"/>
        <v>512.1</v>
      </c>
      <c r="BA243" s="127">
        <f t="shared" si="832"/>
        <v>78.56</v>
      </c>
      <c r="BB243" s="127">
        <f t="shared" si="872"/>
        <v>0</v>
      </c>
      <c r="BC243" s="127">
        <f t="shared" si="872"/>
        <v>0</v>
      </c>
      <c r="BD243" s="127">
        <f t="shared" si="871"/>
        <v>0</v>
      </c>
      <c r="BE243" s="127">
        <f t="shared" si="866"/>
        <v>0</v>
      </c>
      <c r="BF243" s="127">
        <f t="shared" si="866"/>
        <v>55.5</v>
      </c>
      <c r="BG243" s="127">
        <f t="shared" si="866"/>
        <v>16.46</v>
      </c>
      <c r="BH243" s="2"/>
      <c r="BI243" s="2"/>
      <c r="BJ243" s="2"/>
      <c r="BK243" s="2"/>
      <c r="BN243" s="1">
        <v>16</v>
      </c>
      <c r="BO243" s="1">
        <v>74</v>
      </c>
      <c r="BP243" s="1">
        <f>ROUND(BO243*25%,2)</f>
        <v>18.5</v>
      </c>
      <c r="BQ243" s="1">
        <f>ROUND(BO243*50%,2)</f>
        <v>37</v>
      </c>
      <c r="BR243" s="1">
        <f>+BQ243-BN243</f>
        <v>21</v>
      </c>
    </row>
    <row r="244" spans="1:70" ht="20.100000000000001" customHeight="1" x14ac:dyDescent="0.3">
      <c r="A244" s="15">
        <v>2</v>
      </c>
      <c r="B244" s="16" t="s">
        <v>176</v>
      </c>
      <c r="C244" s="17">
        <v>260</v>
      </c>
      <c r="D244" s="17">
        <v>120</v>
      </c>
      <c r="E244" s="19" t="e">
        <f>C244+D244+#REF!+#REF!</f>
        <v>#REF!</v>
      </c>
      <c r="F244" s="17">
        <v>30</v>
      </c>
      <c r="G244" s="28">
        <v>15</v>
      </c>
      <c r="H244" s="19" t="e">
        <f>F244+G244+#REF!</f>
        <v>#REF!</v>
      </c>
      <c r="I244" s="17">
        <v>0</v>
      </c>
      <c r="J244" s="17">
        <v>0</v>
      </c>
      <c r="K244" s="19">
        <f t="shared" si="940"/>
        <v>0</v>
      </c>
      <c r="L244" s="28">
        <v>10</v>
      </c>
      <c r="M244" s="28">
        <v>0</v>
      </c>
      <c r="N244" s="19">
        <f t="shared" si="831"/>
        <v>10</v>
      </c>
      <c r="O244" s="19">
        <f t="shared" si="941"/>
        <v>300</v>
      </c>
      <c r="P244" s="20">
        <f t="shared" si="941"/>
        <v>135</v>
      </c>
      <c r="Q244" s="19">
        <f t="shared" si="817"/>
        <v>435</v>
      </c>
      <c r="R244" s="17">
        <f t="shared" ref="R244:R263" si="945">ROUND(C244*0.25,2)</f>
        <v>65</v>
      </c>
      <c r="S244" s="17">
        <f t="shared" si="862"/>
        <v>18</v>
      </c>
      <c r="T244" s="17">
        <f t="shared" si="943"/>
        <v>7.5</v>
      </c>
      <c r="U244" s="17">
        <f t="shared" si="863"/>
        <v>2.25</v>
      </c>
      <c r="V244" s="17">
        <f t="shared" si="944"/>
        <v>0</v>
      </c>
      <c r="W244" s="17">
        <f t="shared" si="864"/>
        <v>0</v>
      </c>
      <c r="X244" s="17">
        <v>0</v>
      </c>
      <c r="Y244" s="113">
        <f t="shared" si="865"/>
        <v>0</v>
      </c>
      <c r="Z244" s="127">
        <f t="shared" ref="Z244:Z263" si="946">ROUND(C244*17.23%,2)</f>
        <v>44.8</v>
      </c>
      <c r="AA244" s="127">
        <f t="shared" ref="AA244:AA249" si="947">ROUND(D244*4.05%,2)-0.01</f>
        <v>4.8500000000000005</v>
      </c>
      <c r="AB244" s="127">
        <f t="shared" ref="AB244:AB263" si="948">ROUND(F244*5.82%,2)</f>
        <v>1.75</v>
      </c>
      <c r="AC244" s="127">
        <f t="shared" ref="AC244:AC263" si="949">ROUND(G244*3.45%,2)</f>
        <v>0.52</v>
      </c>
      <c r="AD244" s="127">
        <f t="shared" si="907"/>
        <v>0</v>
      </c>
      <c r="AE244" s="127">
        <f t="shared" si="908"/>
        <v>0</v>
      </c>
      <c r="AF244" s="127">
        <v>0</v>
      </c>
      <c r="AG244" s="127">
        <v>0</v>
      </c>
      <c r="AH244" s="127">
        <f t="shared" ref="AH244:AH263" si="950">ROUND(C244*7.8%,2)</f>
        <v>20.28</v>
      </c>
      <c r="AI244" s="127">
        <f t="shared" ref="AI244:AI263" si="951">ROUND(D244*14%,2)</f>
        <v>16.8</v>
      </c>
      <c r="AJ244" s="127">
        <f t="shared" ref="AJ244:AJ266" si="952">ROUND(F244*19%,2)</f>
        <v>5.7</v>
      </c>
      <c r="AK244" s="127">
        <f t="shared" si="925"/>
        <v>2.1</v>
      </c>
      <c r="AL244" s="127">
        <v>0</v>
      </c>
      <c r="AM244" s="127">
        <v>0</v>
      </c>
      <c r="AN244" s="127">
        <f t="shared" ref="AN244:AN249" si="953">ROUND(L244*50%-X244,2)</f>
        <v>5</v>
      </c>
      <c r="AO244" s="127">
        <f t="shared" si="888"/>
        <v>0</v>
      </c>
      <c r="AP244" s="127">
        <f t="shared" si="889"/>
        <v>65</v>
      </c>
      <c r="AQ244" s="127">
        <f t="shared" si="890"/>
        <v>33.78</v>
      </c>
      <c r="AR244" s="127">
        <f t="shared" si="891"/>
        <v>7.5</v>
      </c>
      <c r="AS244" s="127">
        <f t="shared" si="892"/>
        <v>4.22</v>
      </c>
      <c r="AT244" s="127">
        <f t="shared" si="893"/>
        <v>0</v>
      </c>
      <c r="AU244" s="127">
        <f t="shared" si="894"/>
        <v>0</v>
      </c>
      <c r="AV244" s="127">
        <f t="shared" si="895"/>
        <v>2.5</v>
      </c>
      <c r="AW244" s="127">
        <f t="shared" si="896"/>
        <v>0</v>
      </c>
      <c r="AX244" s="127"/>
      <c r="AY244" s="127"/>
      <c r="AZ244" s="127">
        <f t="shared" si="870"/>
        <v>195.07999999999998</v>
      </c>
      <c r="BA244" s="127">
        <f t="shared" si="832"/>
        <v>73.430000000000007</v>
      </c>
      <c r="BB244" s="127">
        <f t="shared" si="872"/>
        <v>22.45</v>
      </c>
      <c r="BC244" s="127">
        <f t="shared" si="872"/>
        <v>9.09</v>
      </c>
      <c r="BD244" s="127">
        <f t="shared" si="871"/>
        <v>0</v>
      </c>
      <c r="BE244" s="127">
        <f t="shared" si="866"/>
        <v>0</v>
      </c>
      <c r="BF244" s="127">
        <f t="shared" si="866"/>
        <v>7.5</v>
      </c>
      <c r="BG244" s="127">
        <f t="shared" si="866"/>
        <v>0</v>
      </c>
      <c r="BH244" s="2"/>
      <c r="BI244" s="2"/>
      <c r="BJ244" s="2"/>
      <c r="BK244" s="2"/>
      <c r="BL244" s="1">
        <f>3.25/94*100</f>
        <v>3.4574468085106385</v>
      </c>
      <c r="BN244" s="1">
        <v>0</v>
      </c>
      <c r="BO244" s="1">
        <v>10</v>
      </c>
      <c r="BP244" s="1">
        <f t="shared" ref="BP244:BP249" si="954">ROUND(BO244*25%,2)</f>
        <v>2.5</v>
      </c>
      <c r="BQ244" s="1">
        <f t="shared" ref="BQ244:BQ249" si="955">ROUND(BO244*50%,2)</f>
        <v>5</v>
      </c>
      <c r="BR244" s="1">
        <f t="shared" ref="BR244:BR249" si="956">+BQ244-BN244</f>
        <v>5</v>
      </c>
    </row>
    <row r="245" spans="1:70" ht="20.100000000000001" customHeight="1" x14ac:dyDescent="0.3">
      <c r="A245" s="15">
        <v>3</v>
      </c>
      <c r="B245" s="16" t="s">
        <v>177</v>
      </c>
      <c r="C245" s="17">
        <v>80</v>
      </c>
      <c r="D245" s="17">
        <v>36</v>
      </c>
      <c r="E245" s="19" t="e">
        <f>C245+D245+#REF!+#REF!</f>
        <v>#REF!</v>
      </c>
      <c r="F245" s="17">
        <v>18</v>
      </c>
      <c r="G245" s="28">
        <v>12</v>
      </c>
      <c r="H245" s="19" t="e">
        <f>F245+G245+#REF!</f>
        <v>#REF!</v>
      </c>
      <c r="I245" s="17">
        <v>0</v>
      </c>
      <c r="J245" s="17">
        <v>0</v>
      </c>
      <c r="K245" s="19">
        <f t="shared" si="940"/>
        <v>0</v>
      </c>
      <c r="L245" s="28">
        <v>10</v>
      </c>
      <c r="M245" s="28">
        <v>0</v>
      </c>
      <c r="N245" s="19">
        <f t="shared" si="831"/>
        <v>10</v>
      </c>
      <c r="O245" s="19">
        <f t="shared" si="941"/>
        <v>108</v>
      </c>
      <c r="P245" s="20">
        <f t="shared" si="941"/>
        <v>48</v>
      </c>
      <c r="Q245" s="19">
        <f t="shared" si="817"/>
        <v>156</v>
      </c>
      <c r="R245" s="17">
        <f t="shared" si="945"/>
        <v>20</v>
      </c>
      <c r="S245" s="17">
        <f t="shared" si="862"/>
        <v>5.4</v>
      </c>
      <c r="T245" s="17">
        <f t="shared" si="943"/>
        <v>4.5</v>
      </c>
      <c r="U245" s="17">
        <f t="shared" si="863"/>
        <v>1.8</v>
      </c>
      <c r="V245" s="17">
        <f t="shared" si="944"/>
        <v>0</v>
      </c>
      <c r="W245" s="17">
        <f t="shared" si="864"/>
        <v>0</v>
      </c>
      <c r="X245" s="17">
        <v>0</v>
      </c>
      <c r="Y245" s="113">
        <f t="shared" si="865"/>
        <v>0</v>
      </c>
      <c r="Z245" s="127">
        <f t="shared" si="946"/>
        <v>13.78</v>
      </c>
      <c r="AA245" s="127">
        <f t="shared" si="947"/>
        <v>1.45</v>
      </c>
      <c r="AB245" s="127">
        <f>ROUND(F245*5.82%,2)+0.01</f>
        <v>1.06</v>
      </c>
      <c r="AC245" s="127">
        <f t="shared" si="949"/>
        <v>0.41</v>
      </c>
      <c r="AD245" s="127">
        <f t="shared" si="907"/>
        <v>0</v>
      </c>
      <c r="AE245" s="127">
        <f t="shared" si="908"/>
        <v>0</v>
      </c>
      <c r="AF245" s="127">
        <v>0</v>
      </c>
      <c r="AG245" s="127">
        <v>0</v>
      </c>
      <c r="AH245" s="127">
        <f t="shared" si="950"/>
        <v>6.24</v>
      </c>
      <c r="AI245" s="127">
        <f t="shared" si="951"/>
        <v>5.04</v>
      </c>
      <c r="AJ245" s="127">
        <f>ROUND(F245*19%,2)+0.06</f>
        <v>3.48</v>
      </c>
      <c r="AK245" s="127">
        <f>ROUND(G245*14%,2)+0.07</f>
        <v>1.75</v>
      </c>
      <c r="AL245" s="127">
        <v>0</v>
      </c>
      <c r="AM245" s="127">
        <v>0</v>
      </c>
      <c r="AN245" s="127">
        <f t="shared" si="953"/>
        <v>5</v>
      </c>
      <c r="AO245" s="127">
        <f t="shared" si="888"/>
        <v>0</v>
      </c>
      <c r="AP245" s="127">
        <f t="shared" si="889"/>
        <v>20</v>
      </c>
      <c r="AQ245" s="127">
        <f t="shared" si="890"/>
        <v>10.130000000000001</v>
      </c>
      <c r="AR245" s="127">
        <f t="shared" si="891"/>
        <v>4.5</v>
      </c>
      <c r="AS245" s="127">
        <f t="shared" si="892"/>
        <v>3.38</v>
      </c>
      <c r="AT245" s="127">
        <f t="shared" si="893"/>
        <v>0</v>
      </c>
      <c r="AU245" s="127">
        <f t="shared" si="894"/>
        <v>0</v>
      </c>
      <c r="AV245" s="127">
        <f t="shared" si="895"/>
        <v>2.5</v>
      </c>
      <c r="AW245" s="127">
        <f t="shared" si="896"/>
        <v>0</v>
      </c>
      <c r="AX245" s="127"/>
      <c r="AY245" s="127"/>
      <c r="AZ245" s="127">
        <f t="shared" si="870"/>
        <v>60.02</v>
      </c>
      <c r="BA245" s="127">
        <f t="shared" si="832"/>
        <v>22.020000000000003</v>
      </c>
      <c r="BB245" s="127">
        <f t="shared" si="872"/>
        <v>13.540000000000001</v>
      </c>
      <c r="BC245" s="127">
        <f t="shared" si="872"/>
        <v>7.34</v>
      </c>
      <c r="BD245" s="127">
        <f t="shared" si="871"/>
        <v>0</v>
      </c>
      <c r="BE245" s="127">
        <f t="shared" si="866"/>
        <v>0</v>
      </c>
      <c r="BF245" s="127">
        <f t="shared" si="866"/>
        <v>7.5</v>
      </c>
      <c r="BG245" s="127">
        <f t="shared" si="866"/>
        <v>0</v>
      </c>
      <c r="BH245" s="2"/>
      <c r="BI245" s="2"/>
      <c r="BJ245" s="2"/>
      <c r="BK245" s="2"/>
      <c r="BN245" s="1">
        <v>0</v>
      </c>
      <c r="BO245" s="1">
        <v>10</v>
      </c>
      <c r="BP245" s="1">
        <f t="shared" si="954"/>
        <v>2.5</v>
      </c>
      <c r="BQ245" s="1">
        <f t="shared" si="955"/>
        <v>5</v>
      </c>
      <c r="BR245" s="1">
        <f t="shared" si="956"/>
        <v>5</v>
      </c>
    </row>
    <row r="246" spans="1:70" ht="20.100000000000001" customHeight="1" x14ac:dyDescent="0.3">
      <c r="A246" s="15">
        <v>4</v>
      </c>
      <c r="B246" s="16" t="s">
        <v>178</v>
      </c>
      <c r="C246" s="17">
        <v>235</v>
      </c>
      <c r="D246" s="17">
        <v>40</v>
      </c>
      <c r="E246" s="19" t="e">
        <f>C246+D246+#REF!+#REF!</f>
        <v>#REF!</v>
      </c>
      <c r="F246" s="17">
        <v>0</v>
      </c>
      <c r="G246" s="28">
        <v>0</v>
      </c>
      <c r="H246" s="19" t="e">
        <f>F246+G246+#REF!</f>
        <v>#REF!</v>
      </c>
      <c r="I246" s="17">
        <v>0</v>
      </c>
      <c r="J246" s="17">
        <v>0</v>
      </c>
      <c r="K246" s="19">
        <f t="shared" si="940"/>
        <v>0</v>
      </c>
      <c r="L246" s="28">
        <v>15</v>
      </c>
      <c r="M246" s="28">
        <v>10</v>
      </c>
      <c r="N246" s="19">
        <f t="shared" si="831"/>
        <v>25</v>
      </c>
      <c r="O246" s="19">
        <f t="shared" si="941"/>
        <v>250</v>
      </c>
      <c r="P246" s="20">
        <f t="shared" si="941"/>
        <v>50</v>
      </c>
      <c r="Q246" s="19">
        <f t="shared" si="817"/>
        <v>300</v>
      </c>
      <c r="R246" s="17">
        <f t="shared" si="945"/>
        <v>58.75</v>
      </c>
      <c r="S246" s="17">
        <f t="shared" si="862"/>
        <v>6</v>
      </c>
      <c r="T246" s="17">
        <f t="shared" si="943"/>
        <v>0</v>
      </c>
      <c r="U246" s="17">
        <f t="shared" si="863"/>
        <v>0</v>
      </c>
      <c r="V246" s="17">
        <f t="shared" si="944"/>
        <v>0</v>
      </c>
      <c r="W246" s="17">
        <f t="shared" si="864"/>
        <v>0</v>
      </c>
      <c r="X246" s="17">
        <v>1.25</v>
      </c>
      <c r="Y246" s="113">
        <f t="shared" si="865"/>
        <v>1.5</v>
      </c>
      <c r="Z246" s="127">
        <f t="shared" si="946"/>
        <v>40.49</v>
      </c>
      <c r="AA246" s="127">
        <f t="shared" si="947"/>
        <v>1.61</v>
      </c>
      <c r="AB246" s="127">
        <f t="shared" si="948"/>
        <v>0</v>
      </c>
      <c r="AC246" s="127">
        <f t="shared" si="949"/>
        <v>0</v>
      </c>
      <c r="AD246" s="127">
        <f t="shared" si="907"/>
        <v>0</v>
      </c>
      <c r="AE246" s="127">
        <f t="shared" si="908"/>
        <v>0</v>
      </c>
      <c r="AF246" s="127">
        <v>0</v>
      </c>
      <c r="AG246" s="127">
        <v>0</v>
      </c>
      <c r="AH246" s="127">
        <f t="shared" si="950"/>
        <v>18.329999999999998</v>
      </c>
      <c r="AI246" s="127">
        <f t="shared" si="951"/>
        <v>5.6</v>
      </c>
      <c r="AJ246" s="127">
        <f t="shared" si="952"/>
        <v>0</v>
      </c>
      <c r="AK246" s="127">
        <f t="shared" si="925"/>
        <v>0</v>
      </c>
      <c r="AL246" s="127">
        <v>0</v>
      </c>
      <c r="AM246" s="127">
        <v>0</v>
      </c>
      <c r="AN246" s="127">
        <f t="shared" si="953"/>
        <v>6.25</v>
      </c>
      <c r="AO246" s="127">
        <f t="shared" si="888"/>
        <v>1.8</v>
      </c>
      <c r="AP246" s="127">
        <f t="shared" si="889"/>
        <v>58.75</v>
      </c>
      <c r="AQ246" s="127">
        <f t="shared" si="890"/>
        <v>11.26</v>
      </c>
      <c r="AR246" s="127">
        <f t="shared" si="891"/>
        <v>0</v>
      </c>
      <c r="AS246" s="127">
        <f t="shared" si="892"/>
        <v>0</v>
      </c>
      <c r="AT246" s="127">
        <f t="shared" si="893"/>
        <v>0</v>
      </c>
      <c r="AU246" s="127">
        <f t="shared" si="894"/>
        <v>0</v>
      </c>
      <c r="AV246" s="127">
        <f t="shared" si="895"/>
        <v>3.75</v>
      </c>
      <c r="AW246" s="127">
        <f t="shared" si="896"/>
        <v>2.82</v>
      </c>
      <c r="AX246" s="127"/>
      <c r="AY246" s="127"/>
      <c r="AZ246" s="127">
        <f t="shared" si="870"/>
        <v>176.32</v>
      </c>
      <c r="BA246" s="127">
        <f t="shared" si="832"/>
        <v>24.47</v>
      </c>
      <c r="BB246" s="127">
        <f t="shared" si="872"/>
        <v>0</v>
      </c>
      <c r="BC246" s="127">
        <f t="shared" si="872"/>
        <v>0</v>
      </c>
      <c r="BD246" s="127">
        <f t="shared" si="871"/>
        <v>0</v>
      </c>
      <c r="BE246" s="127">
        <f t="shared" si="866"/>
        <v>0</v>
      </c>
      <c r="BF246" s="127">
        <f t="shared" si="866"/>
        <v>11.25</v>
      </c>
      <c r="BG246" s="127">
        <f t="shared" si="866"/>
        <v>6.12</v>
      </c>
      <c r="BH246" s="2"/>
      <c r="BI246" s="2"/>
      <c r="BJ246" s="2"/>
      <c r="BK246" s="2"/>
      <c r="BN246" s="1">
        <v>1.25</v>
      </c>
      <c r="BO246" s="1">
        <v>15</v>
      </c>
      <c r="BP246" s="1">
        <f t="shared" si="954"/>
        <v>3.75</v>
      </c>
      <c r="BQ246" s="1">
        <f t="shared" si="955"/>
        <v>7.5</v>
      </c>
      <c r="BR246" s="1">
        <f t="shared" si="956"/>
        <v>6.25</v>
      </c>
    </row>
    <row r="247" spans="1:70" ht="20.100000000000001" customHeight="1" x14ac:dyDescent="0.3">
      <c r="A247" s="15">
        <v>5</v>
      </c>
      <c r="B247" s="16" t="s">
        <v>179</v>
      </c>
      <c r="C247" s="17">
        <v>115</v>
      </c>
      <c r="D247" s="17">
        <v>34</v>
      </c>
      <c r="E247" s="19" t="e">
        <f>C247+D247+#REF!+#REF!</f>
        <v>#REF!</v>
      </c>
      <c r="F247" s="17">
        <v>20</v>
      </c>
      <c r="G247" s="28">
        <v>5</v>
      </c>
      <c r="H247" s="19" t="e">
        <f>F247+G247+#REF!</f>
        <v>#REF!</v>
      </c>
      <c r="I247" s="17">
        <v>0</v>
      </c>
      <c r="J247" s="17">
        <v>0</v>
      </c>
      <c r="K247" s="19">
        <f t="shared" si="940"/>
        <v>0</v>
      </c>
      <c r="L247" s="28">
        <v>15</v>
      </c>
      <c r="M247" s="28">
        <v>10</v>
      </c>
      <c r="N247" s="19">
        <f t="shared" si="831"/>
        <v>25</v>
      </c>
      <c r="O247" s="19">
        <f t="shared" si="941"/>
        <v>150</v>
      </c>
      <c r="P247" s="20">
        <f t="shared" si="941"/>
        <v>49</v>
      </c>
      <c r="Q247" s="19">
        <f t="shared" si="817"/>
        <v>199</v>
      </c>
      <c r="R247" s="17">
        <f t="shared" si="945"/>
        <v>28.75</v>
      </c>
      <c r="S247" s="17">
        <f t="shared" si="862"/>
        <v>5.0999999999999996</v>
      </c>
      <c r="T247" s="17">
        <f t="shared" si="943"/>
        <v>5</v>
      </c>
      <c r="U247" s="17">
        <f t="shared" si="863"/>
        <v>0.75</v>
      </c>
      <c r="V247" s="17">
        <f t="shared" si="944"/>
        <v>0</v>
      </c>
      <c r="W247" s="17">
        <f t="shared" si="864"/>
        <v>0</v>
      </c>
      <c r="X247" s="17">
        <v>1.25</v>
      </c>
      <c r="Y247" s="113">
        <f t="shared" si="865"/>
        <v>1.5</v>
      </c>
      <c r="Z247" s="127">
        <f t="shared" si="946"/>
        <v>19.809999999999999</v>
      </c>
      <c r="AA247" s="127">
        <f t="shared" si="947"/>
        <v>1.3699999999999999</v>
      </c>
      <c r="AB247" s="127">
        <f t="shared" si="948"/>
        <v>1.1599999999999999</v>
      </c>
      <c r="AC247" s="127">
        <f t="shared" si="949"/>
        <v>0.17</v>
      </c>
      <c r="AD247" s="127">
        <f t="shared" si="907"/>
        <v>0</v>
      </c>
      <c r="AE247" s="127">
        <f t="shared" si="908"/>
        <v>0</v>
      </c>
      <c r="AF247" s="127">
        <v>0</v>
      </c>
      <c r="AG247" s="127">
        <v>0</v>
      </c>
      <c r="AH247" s="127">
        <f t="shared" si="950"/>
        <v>8.9700000000000006</v>
      </c>
      <c r="AI247" s="127">
        <f t="shared" si="951"/>
        <v>4.76</v>
      </c>
      <c r="AJ247" s="127">
        <f>ROUND(F247*19%,2)+0.07</f>
        <v>3.8699999999999997</v>
      </c>
      <c r="AK247" s="127">
        <f t="shared" si="925"/>
        <v>0.7</v>
      </c>
      <c r="AL247" s="127">
        <v>0</v>
      </c>
      <c r="AM247" s="127">
        <v>0</v>
      </c>
      <c r="AN247" s="127">
        <f t="shared" si="953"/>
        <v>6.25</v>
      </c>
      <c r="AO247" s="127">
        <f t="shared" si="888"/>
        <v>1.8</v>
      </c>
      <c r="AP247" s="127">
        <f t="shared" si="889"/>
        <v>28.75</v>
      </c>
      <c r="AQ247" s="127">
        <f t="shared" si="890"/>
        <v>9.57</v>
      </c>
      <c r="AR247" s="127">
        <f t="shared" si="891"/>
        <v>5</v>
      </c>
      <c r="AS247" s="127">
        <f t="shared" si="892"/>
        <v>1.41</v>
      </c>
      <c r="AT247" s="127">
        <f t="shared" si="893"/>
        <v>0</v>
      </c>
      <c r="AU247" s="127">
        <f t="shared" si="894"/>
        <v>0</v>
      </c>
      <c r="AV247" s="127">
        <f t="shared" si="895"/>
        <v>3.75</v>
      </c>
      <c r="AW247" s="127">
        <f t="shared" si="896"/>
        <v>2.82</v>
      </c>
      <c r="AX247" s="127"/>
      <c r="AY247" s="127"/>
      <c r="AZ247" s="127">
        <f t="shared" si="870"/>
        <v>86.28</v>
      </c>
      <c r="BA247" s="127">
        <f t="shared" si="832"/>
        <v>20.799999999999997</v>
      </c>
      <c r="BB247" s="127">
        <f t="shared" si="872"/>
        <v>15.03</v>
      </c>
      <c r="BC247" s="127">
        <f t="shared" si="872"/>
        <v>3.03</v>
      </c>
      <c r="BD247" s="127">
        <f t="shared" si="871"/>
        <v>0</v>
      </c>
      <c r="BE247" s="127">
        <f t="shared" si="866"/>
        <v>0</v>
      </c>
      <c r="BF247" s="127">
        <f t="shared" si="866"/>
        <v>11.25</v>
      </c>
      <c r="BG247" s="127">
        <f t="shared" si="866"/>
        <v>6.12</v>
      </c>
      <c r="BH247" s="2"/>
      <c r="BI247" s="2"/>
      <c r="BJ247" s="2"/>
      <c r="BK247" s="2"/>
      <c r="BN247" s="1">
        <v>1.25</v>
      </c>
      <c r="BO247" s="1">
        <v>15</v>
      </c>
      <c r="BP247" s="1">
        <f t="shared" si="954"/>
        <v>3.75</v>
      </c>
      <c r="BQ247" s="1">
        <f t="shared" si="955"/>
        <v>7.5</v>
      </c>
      <c r="BR247" s="1">
        <f t="shared" si="956"/>
        <v>6.25</v>
      </c>
    </row>
    <row r="248" spans="1:70" ht="20.100000000000001" customHeight="1" x14ac:dyDescent="0.3">
      <c r="A248" s="15">
        <v>6</v>
      </c>
      <c r="B248" s="16" t="s">
        <v>180</v>
      </c>
      <c r="C248" s="17">
        <v>116</v>
      </c>
      <c r="D248" s="17">
        <v>25</v>
      </c>
      <c r="E248" s="19" t="e">
        <f>C248+D248+#REF!+#REF!</f>
        <v>#REF!</v>
      </c>
      <c r="F248" s="17">
        <v>19</v>
      </c>
      <c r="G248" s="28">
        <v>15</v>
      </c>
      <c r="H248" s="19" t="e">
        <f>F248+G248+#REF!</f>
        <v>#REF!</v>
      </c>
      <c r="I248" s="17">
        <v>0</v>
      </c>
      <c r="J248" s="17">
        <v>0</v>
      </c>
      <c r="K248" s="19">
        <f t="shared" si="940"/>
        <v>0</v>
      </c>
      <c r="L248" s="28">
        <v>0</v>
      </c>
      <c r="M248" s="28">
        <v>0</v>
      </c>
      <c r="N248" s="19">
        <f t="shared" si="831"/>
        <v>0</v>
      </c>
      <c r="O248" s="19">
        <f t="shared" si="941"/>
        <v>135</v>
      </c>
      <c r="P248" s="20">
        <f t="shared" si="941"/>
        <v>40</v>
      </c>
      <c r="Q248" s="19">
        <f t="shared" si="817"/>
        <v>175</v>
      </c>
      <c r="R248" s="17">
        <f t="shared" si="945"/>
        <v>29</v>
      </c>
      <c r="S248" s="17">
        <f t="shared" si="862"/>
        <v>3.75</v>
      </c>
      <c r="T248" s="17">
        <f t="shared" si="943"/>
        <v>4.75</v>
      </c>
      <c r="U248" s="17">
        <f t="shared" si="863"/>
        <v>2.25</v>
      </c>
      <c r="V248" s="17">
        <f t="shared" si="944"/>
        <v>0</v>
      </c>
      <c r="W248" s="17">
        <f t="shared" si="864"/>
        <v>0</v>
      </c>
      <c r="X248" s="17">
        <v>0</v>
      </c>
      <c r="Y248" s="113">
        <f t="shared" si="865"/>
        <v>0</v>
      </c>
      <c r="Z248" s="127">
        <f t="shared" si="946"/>
        <v>19.989999999999998</v>
      </c>
      <c r="AA248" s="127">
        <f t="shared" si="947"/>
        <v>1</v>
      </c>
      <c r="AB248" s="127">
        <f t="shared" si="948"/>
        <v>1.1100000000000001</v>
      </c>
      <c r="AC248" s="127">
        <f>ROUND(G248*3.45%,2)+0.01</f>
        <v>0.53</v>
      </c>
      <c r="AD248" s="127">
        <f t="shared" si="907"/>
        <v>0</v>
      </c>
      <c r="AE248" s="127">
        <f t="shared" si="908"/>
        <v>0</v>
      </c>
      <c r="AF248" s="127">
        <v>0</v>
      </c>
      <c r="AG248" s="127">
        <v>0</v>
      </c>
      <c r="AH248" s="127">
        <f t="shared" si="950"/>
        <v>9.0500000000000007</v>
      </c>
      <c r="AI248" s="127">
        <f t="shared" si="951"/>
        <v>3.5</v>
      </c>
      <c r="AJ248" s="127">
        <f t="shared" si="952"/>
        <v>3.61</v>
      </c>
      <c r="AK248" s="127">
        <f>ROUND(G248*14%,2)+0.1</f>
        <v>2.2000000000000002</v>
      </c>
      <c r="AL248" s="127">
        <v>0</v>
      </c>
      <c r="AM248" s="127">
        <v>0</v>
      </c>
      <c r="AN248" s="127">
        <f t="shared" si="953"/>
        <v>0</v>
      </c>
      <c r="AO248" s="127">
        <f t="shared" si="888"/>
        <v>0</v>
      </c>
      <c r="AP248" s="127">
        <f t="shared" si="889"/>
        <v>29</v>
      </c>
      <c r="AQ248" s="127">
        <f t="shared" si="890"/>
        <v>7.04</v>
      </c>
      <c r="AR248" s="127">
        <f t="shared" si="891"/>
        <v>4.75</v>
      </c>
      <c r="AS248" s="127">
        <f t="shared" si="892"/>
        <v>4.22</v>
      </c>
      <c r="AT248" s="127">
        <f t="shared" si="893"/>
        <v>0</v>
      </c>
      <c r="AU248" s="127">
        <f t="shared" si="894"/>
        <v>0</v>
      </c>
      <c r="AV248" s="127">
        <f t="shared" si="895"/>
        <v>0</v>
      </c>
      <c r="AW248" s="127">
        <f t="shared" si="896"/>
        <v>0</v>
      </c>
      <c r="AX248" s="127"/>
      <c r="AY248" s="127"/>
      <c r="AZ248" s="127">
        <f t="shared" si="870"/>
        <v>87.039999999999992</v>
      </c>
      <c r="BA248" s="127">
        <f t="shared" si="832"/>
        <v>15.29</v>
      </c>
      <c r="BB248" s="127">
        <f t="shared" si="872"/>
        <v>14.219999999999999</v>
      </c>
      <c r="BC248" s="127">
        <f t="shared" si="872"/>
        <v>9.1999999999999993</v>
      </c>
      <c r="BD248" s="127">
        <f t="shared" si="871"/>
        <v>0</v>
      </c>
      <c r="BE248" s="127">
        <f t="shared" si="866"/>
        <v>0</v>
      </c>
      <c r="BF248" s="127">
        <f t="shared" si="866"/>
        <v>0</v>
      </c>
      <c r="BG248" s="127">
        <f t="shared" si="866"/>
        <v>0</v>
      </c>
      <c r="BH248" s="2"/>
      <c r="BI248" s="2"/>
      <c r="BJ248" s="2"/>
      <c r="BK248" s="2"/>
      <c r="BN248" s="1">
        <v>0</v>
      </c>
      <c r="BO248" s="1">
        <v>0</v>
      </c>
      <c r="BP248" s="1">
        <f t="shared" si="954"/>
        <v>0</v>
      </c>
      <c r="BQ248" s="1">
        <f t="shared" si="955"/>
        <v>0</v>
      </c>
      <c r="BR248" s="1">
        <f t="shared" si="956"/>
        <v>0</v>
      </c>
    </row>
    <row r="249" spans="1:70" ht="20.100000000000001" customHeight="1" x14ac:dyDescent="0.3">
      <c r="A249" s="15">
        <v>7</v>
      </c>
      <c r="B249" s="16" t="s">
        <v>181</v>
      </c>
      <c r="C249" s="17">
        <v>112</v>
      </c>
      <c r="D249" s="17">
        <v>15</v>
      </c>
      <c r="E249" s="19" t="e">
        <f>C249+D249+#REF!+#REF!</f>
        <v>#REF!</v>
      </c>
      <c r="F249" s="17">
        <v>0</v>
      </c>
      <c r="G249" s="28">
        <v>0</v>
      </c>
      <c r="H249" s="19" t="e">
        <f>F249+G249+#REF!</f>
        <v>#REF!</v>
      </c>
      <c r="I249" s="17">
        <v>0</v>
      </c>
      <c r="J249" s="17">
        <v>0</v>
      </c>
      <c r="K249" s="19">
        <f t="shared" si="940"/>
        <v>0</v>
      </c>
      <c r="L249" s="28">
        <v>0</v>
      </c>
      <c r="M249" s="28">
        <v>0</v>
      </c>
      <c r="N249" s="19">
        <f t="shared" si="831"/>
        <v>0</v>
      </c>
      <c r="O249" s="19">
        <f t="shared" si="941"/>
        <v>112</v>
      </c>
      <c r="P249" s="20">
        <f t="shared" si="941"/>
        <v>15</v>
      </c>
      <c r="Q249" s="19">
        <f t="shared" ref="Q249:Q306" si="957">O249+P249</f>
        <v>127</v>
      </c>
      <c r="R249" s="17">
        <f t="shared" si="945"/>
        <v>28</v>
      </c>
      <c r="S249" s="17">
        <f t="shared" si="862"/>
        <v>2.25</v>
      </c>
      <c r="T249" s="17">
        <f t="shared" si="943"/>
        <v>0</v>
      </c>
      <c r="U249" s="17">
        <f t="shared" si="863"/>
        <v>0</v>
      </c>
      <c r="V249" s="17">
        <f t="shared" si="944"/>
        <v>0</v>
      </c>
      <c r="W249" s="17">
        <f t="shared" si="864"/>
        <v>0</v>
      </c>
      <c r="X249" s="17">
        <v>0</v>
      </c>
      <c r="Y249" s="113">
        <f t="shared" si="865"/>
        <v>0</v>
      </c>
      <c r="Z249" s="127">
        <f t="shared" si="946"/>
        <v>19.3</v>
      </c>
      <c r="AA249" s="127">
        <f t="shared" si="947"/>
        <v>0.6</v>
      </c>
      <c r="AB249" s="127">
        <f t="shared" si="948"/>
        <v>0</v>
      </c>
      <c r="AC249" s="127">
        <f t="shared" si="949"/>
        <v>0</v>
      </c>
      <c r="AD249" s="127">
        <f t="shared" si="907"/>
        <v>0</v>
      </c>
      <c r="AE249" s="127">
        <f t="shared" si="908"/>
        <v>0</v>
      </c>
      <c r="AF249" s="127">
        <v>0</v>
      </c>
      <c r="AG249" s="127">
        <v>0</v>
      </c>
      <c r="AH249" s="127">
        <f t="shared" si="950"/>
        <v>8.74</v>
      </c>
      <c r="AI249" s="127">
        <f t="shared" si="951"/>
        <v>2.1</v>
      </c>
      <c r="AJ249" s="127">
        <f t="shared" si="952"/>
        <v>0</v>
      </c>
      <c r="AK249" s="127">
        <f t="shared" si="925"/>
        <v>0</v>
      </c>
      <c r="AL249" s="127">
        <v>0</v>
      </c>
      <c r="AM249" s="127">
        <v>0</v>
      </c>
      <c r="AN249" s="127">
        <f t="shared" si="953"/>
        <v>0</v>
      </c>
      <c r="AO249" s="127">
        <f t="shared" si="888"/>
        <v>0</v>
      </c>
      <c r="AP249" s="127">
        <f t="shared" si="889"/>
        <v>28</v>
      </c>
      <c r="AQ249" s="127">
        <f t="shared" si="890"/>
        <v>4.22</v>
      </c>
      <c r="AR249" s="127">
        <f t="shared" si="891"/>
        <v>0</v>
      </c>
      <c r="AS249" s="127">
        <f t="shared" si="892"/>
        <v>0</v>
      </c>
      <c r="AT249" s="127">
        <f t="shared" si="893"/>
        <v>0</v>
      </c>
      <c r="AU249" s="127">
        <f t="shared" si="894"/>
        <v>0</v>
      </c>
      <c r="AV249" s="127">
        <f t="shared" si="895"/>
        <v>0</v>
      </c>
      <c r="AW249" s="127">
        <f t="shared" si="896"/>
        <v>0</v>
      </c>
      <c r="AX249" s="127"/>
      <c r="AY249" s="127"/>
      <c r="AZ249" s="127">
        <f t="shared" si="870"/>
        <v>84.04</v>
      </c>
      <c r="BA249" s="127">
        <f t="shared" ref="BA249:BA306" si="958">+AQ249+AI249+AA249+S249+AY249</f>
        <v>9.17</v>
      </c>
      <c r="BB249" s="127">
        <f t="shared" si="872"/>
        <v>0</v>
      </c>
      <c r="BC249" s="127">
        <f t="shared" si="872"/>
        <v>0</v>
      </c>
      <c r="BD249" s="127">
        <f t="shared" si="871"/>
        <v>0</v>
      </c>
      <c r="BE249" s="127">
        <f t="shared" si="866"/>
        <v>0</v>
      </c>
      <c r="BF249" s="127">
        <f t="shared" si="866"/>
        <v>0</v>
      </c>
      <c r="BG249" s="127">
        <f t="shared" si="866"/>
        <v>0</v>
      </c>
      <c r="BH249" s="2"/>
      <c r="BI249" s="2"/>
      <c r="BJ249" s="2"/>
      <c r="BK249" s="2"/>
      <c r="BN249" s="1">
        <v>0</v>
      </c>
      <c r="BO249" s="1">
        <v>0</v>
      </c>
      <c r="BP249" s="1">
        <f t="shared" si="954"/>
        <v>0</v>
      </c>
      <c r="BQ249" s="1">
        <f t="shared" si="955"/>
        <v>0</v>
      </c>
      <c r="BR249" s="1">
        <f t="shared" si="956"/>
        <v>0</v>
      </c>
    </row>
    <row r="250" spans="1:70" s="6" customFormat="1" ht="20.100000000000001" customHeight="1" x14ac:dyDescent="0.3">
      <c r="A250" s="76"/>
      <c r="B250" s="77" t="s">
        <v>175</v>
      </c>
      <c r="C250" s="78">
        <f>SUM(C243:C249)</f>
        <v>1601</v>
      </c>
      <c r="D250" s="78">
        <f t="shared" ref="D250:BG250" si="959">SUM(D243:D249)</f>
        <v>400</v>
      </c>
      <c r="E250" s="78" t="e">
        <f t="shared" si="959"/>
        <v>#REF!</v>
      </c>
      <c r="F250" s="78">
        <f t="shared" si="959"/>
        <v>87</v>
      </c>
      <c r="G250" s="78">
        <f t="shared" si="959"/>
        <v>47</v>
      </c>
      <c r="H250" s="78" t="e">
        <f t="shared" si="959"/>
        <v>#REF!</v>
      </c>
      <c r="I250" s="78">
        <f t="shared" si="959"/>
        <v>0</v>
      </c>
      <c r="J250" s="78">
        <f t="shared" si="959"/>
        <v>0</v>
      </c>
      <c r="K250" s="78">
        <f t="shared" si="959"/>
        <v>0</v>
      </c>
      <c r="L250" s="78">
        <f t="shared" si="959"/>
        <v>124</v>
      </c>
      <c r="M250" s="78">
        <f t="shared" si="959"/>
        <v>47</v>
      </c>
      <c r="N250" s="78">
        <f t="shared" si="959"/>
        <v>171</v>
      </c>
      <c r="O250" s="78">
        <f t="shared" si="959"/>
        <v>1812</v>
      </c>
      <c r="P250" s="78">
        <f t="shared" si="959"/>
        <v>494</v>
      </c>
      <c r="Q250" s="78">
        <f t="shared" si="959"/>
        <v>2306</v>
      </c>
      <c r="R250" s="78">
        <f t="shared" si="959"/>
        <v>400.25</v>
      </c>
      <c r="S250" s="78">
        <f t="shared" si="959"/>
        <v>60</v>
      </c>
      <c r="T250" s="78">
        <f t="shared" si="959"/>
        <v>21.75</v>
      </c>
      <c r="U250" s="78">
        <f t="shared" si="959"/>
        <v>7.05</v>
      </c>
      <c r="V250" s="78">
        <f t="shared" si="959"/>
        <v>0</v>
      </c>
      <c r="W250" s="78">
        <f t="shared" si="959"/>
        <v>0</v>
      </c>
      <c r="X250" s="78">
        <f t="shared" si="959"/>
        <v>18.5</v>
      </c>
      <c r="Y250" s="114">
        <f t="shared" si="959"/>
        <v>7.05</v>
      </c>
      <c r="Z250" s="78">
        <f t="shared" si="959"/>
        <v>275.85000000000002</v>
      </c>
      <c r="AA250" s="78">
        <f t="shared" si="959"/>
        <v>16.139999999999997</v>
      </c>
      <c r="AB250" s="78">
        <f t="shared" si="959"/>
        <v>5.08</v>
      </c>
      <c r="AC250" s="78">
        <f t="shared" si="959"/>
        <v>1.63</v>
      </c>
      <c r="AD250" s="78">
        <f t="shared" si="959"/>
        <v>0</v>
      </c>
      <c r="AE250" s="78">
        <f t="shared" si="959"/>
        <v>0</v>
      </c>
      <c r="AF250" s="78">
        <f t="shared" si="959"/>
        <v>0</v>
      </c>
      <c r="AG250" s="78">
        <f t="shared" si="959"/>
        <v>0</v>
      </c>
      <c r="AH250" s="78">
        <f t="shared" si="959"/>
        <v>124.52999999999999</v>
      </c>
      <c r="AI250" s="78">
        <f t="shared" si="959"/>
        <v>55</v>
      </c>
      <c r="AJ250" s="78">
        <f t="shared" si="959"/>
        <v>16.66</v>
      </c>
      <c r="AK250" s="78">
        <f t="shared" si="959"/>
        <v>6.75</v>
      </c>
      <c r="AL250" s="78">
        <f t="shared" si="959"/>
        <v>0</v>
      </c>
      <c r="AM250" s="78">
        <f t="shared" si="959"/>
        <v>0</v>
      </c>
      <c r="AN250" s="78">
        <f t="shared" si="959"/>
        <v>43.5</v>
      </c>
      <c r="AO250" s="78">
        <f t="shared" si="959"/>
        <v>8.41</v>
      </c>
      <c r="AP250" s="78">
        <f t="shared" si="959"/>
        <v>400.25</v>
      </c>
      <c r="AQ250" s="78">
        <f t="shared" si="959"/>
        <v>112.60000000000001</v>
      </c>
      <c r="AR250" s="78">
        <f t="shared" si="959"/>
        <v>21.75</v>
      </c>
      <c r="AS250" s="78">
        <f t="shared" si="959"/>
        <v>13.23</v>
      </c>
      <c r="AT250" s="78">
        <f t="shared" si="959"/>
        <v>0</v>
      </c>
      <c r="AU250" s="78">
        <f t="shared" si="959"/>
        <v>0</v>
      </c>
      <c r="AV250" s="78">
        <f t="shared" si="959"/>
        <v>31</v>
      </c>
      <c r="AW250" s="78">
        <f t="shared" si="959"/>
        <v>13.24</v>
      </c>
      <c r="AX250" s="78">
        <f t="shared" si="959"/>
        <v>0</v>
      </c>
      <c r="AY250" s="78">
        <f t="shared" si="959"/>
        <v>0</v>
      </c>
      <c r="AZ250" s="78">
        <f t="shared" si="959"/>
        <v>1200.8799999999999</v>
      </c>
      <c r="BA250" s="78">
        <f t="shared" si="959"/>
        <v>243.74</v>
      </c>
      <c r="BB250" s="78">
        <f t="shared" si="959"/>
        <v>65.240000000000009</v>
      </c>
      <c r="BC250" s="78">
        <f t="shared" si="959"/>
        <v>28.66</v>
      </c>
      <c r="BD250" s="78">
        <f t="shared" si="959"/>
        <v>0</v>
      </c>
      <c r="BE250" s="78">
        <f t="shared" si="959"/>
        <v>0</v>
      </c>
      <c r="BF250" s="78">
        <f t="shared" si="959"/>
        <v>93</v>
      </c>
      <c r="BG250" s="78">
        <f t="shared" si="959"/>
        <v>28.700000000000003</v>
      </c>
      <c r="BH250" s="84"/>
      <c r="BI250" s="84"/>
      <c r="BJ250" s="84"/>
      <c r="BK250" s="84"/>
    </row>
    <row r="251" spans="1:70" ht="20.100000000000001" customHeight="1" x14ac:dyDescent="0.3">
      <c r="A251" s="15">
        <v>8</v>
      </c>
      <c r="B251" s="16" t="s">
        <v>182</v>
      </c>
      <c r="C251" s="17">
        <v>715</v>
      </c>
      <c r="D251" s="17">
        <v>150</v>
      </c>
      <c r="E251" s="19" t="e">
        <f>C251+D251+#REF!+#REF!</f>
        <v>#REF!</v>
      </c>
      <c r="F251" s="17">
        <v>0</v>
      </c>
      <c r="G251" s="28">
        <v>0</v>
      </c>
      <c r="H251" s="19" t="e">
        <f>F251+G251+#REF!</f>
        <v>#REF!</v>
      </c>
      <c r="I251" s="17">
        <v>0</v>
      </c>
      <c r="J251" s="17">
        <v>0</v>
      </c>
      <c r="K251" s="19">
        <f t="shared" si="940"/>
        <v>0</v>
      </c>
      <c r="L251" s="28">
        <v>30</v>
      </c>
      <c r="M251" s="28">
        <v>10</v>
      </c>
      <c r="N251" s="19">
        <f t="shared" si="831"/>
        <v>40</v>
      </c>
      <c r="O251" s="19">
        <f t="shared" ref="O251:P254" si="960">C251+F251+I251+L251</f>
        <v>745</v>
      </c>
      <c r="P251" s="20">
        <f t="shared" si="960"/>
        <v>160</v>
      </c>
      <c r="Q251" s="19">
        <f t="shared" si="957"/>
        <v>905</v>
      </c>
      <c r="R251" s="17">
        <f t="shared" si="945"/>
        <v>178.75</v>
      </c>
      <c r="S251" s="17">
        <f t="shared" si="862"/>
        <v>22.5</v>
      </c>
      <c r="T251" s="17">
        <f t="shared" si="943"/>
        <v>0</v>
      </c>
      <c r="U251" s="17">
        <f t="shared" si="863"/>
        <v>0</v>
      </c>
      <c r="V251" s="17">
        <f t="shared" si="944"/>
        <v>0</v>
      </c>
      <c r="W251" s="17">
        <f t="shared" si="864"/>
        <v>0</v>
      </c>
      <c r="X251" s="17">
        <f t="shared" ref="X251:X263" si="961">ROUND(L251*0.25,2)</f>
        <v>7.5</v>
      </c>
      <c r="Y251" s="113">
        <f t="shared" si="865"/>
        <v>1.5</v>
      </c>
      <c r="Z251" s="127">
        <f>ROUND(C251*17.23%,2)-0.01</f>
        <v>123.17999999999999</v>
      </c>
      <c r="AA251" s="127">
        <f t="shared" ref="AA251:AA263" si="962">ROUND(D251*4.05%,2)</f>
        <v>6.08</v>
      </c>
      <c r="AB251" s="127">
        <f t="shared" si="948"/>
        <v>0</v>
      </c>
      <c r="AC251" s="127">
        <f t="shared" si="949"/>
        <v>0</v>
      </c>
      <c r="AD251" s="127">
        <f t="shared" si="907"/>
        <v>0</v>
      </c>
      <c r="AE251" s="127">
        <f t="shared" si="908"/>
        <v>0</v>
      </c>
      <c r="AF251" s="127">
        <v>0</v>
      </c>
      <c r="AG251" s="127">
        <v>0</v>
      </c>
      <c r="AH251" s="127">
        <f>ROUND(C251*7.8%,2)-0.5</f>
        <v>55.27</v>
      </c>
      <c r="AI251" s="127">
        <f>ROUND(D251*14%,2)-1</f>
        <v>20</v>
      </c>
      <c r="AJ251" s="127">
        <f t="shared" si="952"/>
        <v>0</v>
      </c>
      <c r="AK251" s="127">
        <f t="shared" si="925"/>
        <v>0</v>
      </c>
      <c r="AL251" s="127">
        <v>0</v>
      </c>
      <c r="AM251" s="127">
        <v>0</v>
      </c>
      <c r="AN251" s="127">
        <f t="shared" si="887"/>
        <v>7.5</v>
      </c>
      <c r="AO251" s="127">
        <f t="shared" si="888"/>
        <v>1.8</v>
      </c>
      <c r="AP251" s="127">
        <f t="shared" si="889"/>
        <v>178.75</v>
      </c>
      <c r="AQ251" s="127">
        <f t="shared" si="890"/>
        <v>42.23</v>
      </c>
      <c r="AR251" s="127">
        <f t="shared" si="891"/>
        <v>0</v>
      </c>
      <c r="AS251" s="127">
        <f t="shared" si="892"/>
        <v>0</v>
      </c>
      <c r="AT251" s="127">
        <f t="shared" si="893"/>
        <v>0</v>
      </c>
      <c r="AU251" s="127">
        <f t="shared" si="894"/>
        <v>0</v>
      </c>
      <c r="AV251" s="127">
        <f t="shared" si="895"/>
        <v>7.5</v>
      </c>
      <c r="AW251" s="127">
        <f t="shared" si="896"/>
        <v>2.82</v>
      </c>
      <c r="AX251" s="127"/>
      <c r="AY251" s="127"/>
      <c r="AZ251" s="127">
        <f t="shared" si="870"/>
        <v>535.95000000000005</v>
      </c>
      <c r="BA251" s="127">
        <f t="shared" si="958"/>
        <v>90.81</v>
      </c>
      <c r="BB251" s="127">
        <f t="shared" si="872"/>
        <v>0</v>
      </c>
      <c r="BC251" s="127">
        <f t="shared" si="872"/>
        <v>0</v>
      </c>
      <c r="BD251" s="127">
        <f t="shared" si="871"/>
        <v>0</v>
      </c>
      <c r="BE251" s="127">
        <f t="shared" si="866"/>
        <v>0</v>
      </c>
      <c r="BF251" s="127">
        <f t="shared" si="866"/>
        <v>22.5</v>
      </c>
      <c r="BG251" s="127">
        <f t="shared" si="866"/>
        <v>6.12</v>
      </c>
      <c r="BH251" s="2"/>
      <c r="BI251" s="2"/>
      <c r="BJ251" s="2"/>
      <c r="BK251" s="2"/>
    </row>
    <row r="252" spans="1:70" ht="20.100000000000001" customHeight="1" x14ac:dyDescent="0.3">
      <c r="A252" s="15">
        <v>9</v>
      </c>
      <c r="B252" s="16" t="s">
        <v>183</v>
      </c>
      <c r="C252" s="17">
        <v>100</v>
      </c>
      <c r="D252" s="17">
        <v>30</v>
      </c>
      <c r="E252" s="19" t="e">
        <f>C252+D252+#REF!+#REF!</f>
        <v>#REF!</v>
      </c>
      <c r="F252" s="17">
        <v>40</v>
      </c>
      <c r="G252" s="28">
        <v>15</v>
      </c>
      <c r="H252" s="19" t="e">
        <f>F252+G252+#REF!</f>
        <v>#REF!</v>
      </c>
      <c r="I252" s="17">
        <v>0</v>
      </c>
      <c r="J252" s="17">
        <v>0</v>
      </c>
      <c r="K252" s="19">
        <f t="shared" si="940"/>
        <v>0</v>
      </c>
      <c r="L252" s="28">
        <v>0</v>
      </c>
      <c r="M252" s="28">
        <v>0</v>
      </c>
      <c r="N252" s="19">
        <f t="shared" si="831"/>
        <v>0</v>
      </c>
      <c r="O252" s="19">
        <f t="shared" si="960"/>
        <v>140</v>
      </c>
      <c r="P252" s="20">
        <f t="shared" si="960"/>
        <v>45</v>
      </c>
      <c r="Q252" s="19">
        <f t="shared" si="957"/>
        <v>185</v>
      </c>
      <c r="R252" s="17">
        <f t="shared" si="945"/>
        <v>25</v>
      </c>
      <c r="S252" s="17">
        <f t="shared" si="862"/>
        <v>4.5</v>
      </c>
      <c r="T252" s="17">
        <f t="shared" si="943"/>
        <v>10</v>
      </c>
      <c r="U252" s="17">
        <f t="shared" si="863"/>
        <v>2.25</v>
      </c>
      <c r="V252" s="17">
        <f t="shared" si="944"/>
        <v>0</v>
      </c>
      <c r="W252" s="17">
        <f t="shared" si="864"/>
        <v>0</v>
      </c>
      <c r="X252" s="17">
        <f t="shared" si="961"/>
        <v>0</v>
      </c>
      <c r="Y252" s="113">
        <f t="shared" si="865"/>
        <v>0</v>
      </c>
      <c r="Z252" s="127">
        <f t="shared" si="946"/>
        <v>17.23</v>
      </c>
      <c r="AA252" s="127">
        <f t="shared" si="962"/>
        <v>1.22</v>
      </c>
      <c r="AB252" s="127">
        <f t="shared" si="948"/>
        <v>2.33</v>
      </c>
      <c r="AC252" s="127">
        <f t="shared" si="949"/>
        <v>0.52</v>
      </c>
      <c r="AD252" s="127">
        <f t="shared" si="907"/>
        <v>0</v>
      </c>
      <c r="AE252" s="127">
        <f t="shared" si="908"/>
        <v>0</v>
      </c>
      <c r="AF252" s="127">
        <v>0</v>
      </c>
      <c r="AG252" s="127">
        <v>0</v>
      </c>
      <c r="AH252" s="127">
        <f t="shared" si="950"/>
        <v>7.8</v>
      </c>
      <c r="AI252" s="127">
        <f t="shared" si="951"/>
        <v>4.2</v>
      </c>
      <c r="AJ252" s="127">
        <f t="shared" si="952"/>
        <v>7.6</v>
      </c>
      <c r="AK252" s="127">
        <f t="shared" si="925"/>
        <v>2.1</v>
      </c>
      <c r="AL252" s="127">
        <v>0</v>
      </c>
      <c r="AM252" s="127">
        <v>0</v>
      </c>
      <c r="AN252" s="127">
        <f t="shared" si="887"/>
        <v>0</v>
      </c>
      <c r="AO252" s="127">
        <f t="shared" si="888"/>
        <v>0</v>
      </c>
      <c r="AP252" s="127">
        <f t="shared" si="889"/>
        <v>25</v>
      </c>
      <c r="AQ252" s="127">
        <f t="shared" si="890"/>
        <v>8.4499999999999993</v>
      </c>
      <c r="AR252" s="127">
        <f t="shared" si="891"/>
        <v>10</v>
      </c>
      <c r="AS252" s="127">
        <f t="shared" si="892"/>
        <v>4.22</v>
      </c>
      <c r="AT252" s="127">
        <f t="shared" si="893"/>
        <v>0</v>
      </c>
      <c r="AU252" s="127">
        <f t="shared" si="894"/>
        <v>0</v>
      </c>
      <c r="AV252" s="127">
        <f t="shared" si="895"/>
        <v>0</v>
      </c>
      <c r="AW252" s="127">
        <f t="shared" si="896"/>
        <v>0</v>
      </c>
      <c r="AX252" s="127"/>
      <c r="AY252" s="127"/>
      <c r="AZ252" s="127">
        <f t="shared" si="870"/>
        <v>75.03</v>
      </c>
      <c r="BA252" s="127">
        <f t="shared" si="958"/>
        <v>18.369999999999997</v>
      </c>
      <c r="BB252" s="127">
        <f t="shared" si="872"/>
        <v>29.93</v>
      </c>
      <c r="BC252" s="127">
        <f t="shared" si="872"/>
        <v>9.09</v>
      </c>
      <c r="BD252" s="127">
        <f t="shared" si="871"/>
        <v>0</v>
      </c>
      <c r="BE252" s="127">
        <f t="shared" si="866"/>
        <v>0</v>
      </c>
      <c r="BF252" s="127">
        <f t="shared" si="866"/>
        <v>0</v>
      </c>
      <c r="BG252" s="127">
        <f t="shared" si="866"/>
        <v>0</v>
      </c>
      <c r="BH252" s="2"/>
      <c r="BI252" s="2"/>
      <c r="BJ252" s="2"/>
      <c r="BK252" s="2"/>
    </row>
    <row r="253" spans="1:70" ht="20.100000000000001" customHeight="1" x14ac:dyDescent="0.3">
      <c r="A253" s="15">
        <v>10</v>
      </c>
      <c r="B253" s="16" t="s">
        <v>184</v>
      </c>
      <c r="C253" s="17">
        <v>342</v>
      </c>
      <c r="D253" s="17">
        <v>100</v>
      </c>
      <c r="E253" s="19" t="e">
        <f>C253+D253+#REF!+#REF!</f>
        <v>#REF!</v>
      </c>
      <c r="F253" s="17">
        <v>53</v>
      </c>
      <c r="G253" s="28">
        <v>27</v>
      </c>
      <c r="H253" s="19" t="e">
        <f>F253+G253+#REF!</f>
        <v>#REF!</v>
      </c>
      <c r="I253" s="17">
        <v>0</v>
      </c>
      <c r="J253" s="17">
        <v>0</v>
      </c>
      <c r="K253" s="19">
        <f t="shared" si="940"/>
        <v>0</v>
      </c>
      <c r="L253" s="28">
        <v>30</v>
      </c>
      <c r="M253" s="28">
        <v>30</v>
      </c>
      <c r="N253" s="19">
        <f t="shared" si="831"/>
        <v>60</v>
      </c>
      <c r="O253" s="19">
        <f t="shared" si="960"/>
        <v>425</v>
      </c>
      <c r="P253" s="20">
        <f t="shared" si="960"/>
        <v>157</v>
      </c>
      <c r="Q253" s="19">
        <f t="shared" si="957"/>
        <v>582</v>
      </c>
      <c r="R253" s="17">
        <f t="shared" si="945"/>
        <v>85.5</v>
      </c>
      <c r="S253" s="17">
        <f t="shared" si="862"/>
        <v>15</v>
      </c>
      <c r="T253" s="17">
        <f t="shared" si="943"/>
        <v>13.25</v>
      </c>
      <c r="U253" s="17">
        <f t="shared" si="863"/>
        <v>4.05</v>
      </c>
      <c r="V253" s="17">
        <f t="shared" si="944"/>
        <v>0</v>
      </c>
      <c r="W253" s="17">
        <f t="shared" si="864"/>
        <v>0</v>
      </c>
      <c r="X253" s="17">
        <f t="shared" si="961"/>
        <v>7.5</v>
      </c>
      <c r="Y253" s="113">
        <f t="shared" si="865"/>
        <v>4.5</v>
      </c>
      <c r="Z253" s="127">
        <f t="shared" si="946"/>
        <v>58.93</v>
      </c>
      <c r="AA253" s="127">
        <f t="shared" si="962"/>
        <v>4.05</v>
      </c>
      <c r="AB253" s="127">
        <f t="shared" si="948"/>
        <v>3.08</v>
      </c>
      <c r="AC253" s="127">
        <f t="shared" si="949"/>
        <v>0.93</v>
      </c>
      <c r="AD253" s="127">
        <f t="shared" si="907"/>
        <v>0</v>
      </c>
      <c r="AE253" s="127">
        <f t="shared" si="908"/>
        <v>0</v>
      </c>
      <c r="AF253" s="127">
        <v>0</v>
      </c>
      <c r="AG253" s="127">
        <v>0</v>
      </c>
      <c r="AH253" s="127">
        <f t="shared" si="950"/>
        <v>26.68</v>
      </c>
      <c r="AI253" s="127">
        <f t="shared" si="951"/>
        <v>14</v>
      </c>
      <c r="AJ253" s="127">
        <f>ROUND(F253*19%,2)+0.13</f>
        <v>10.200000000000001</v>
      </c>
      <c r="AK253" s="127">
        <f>ROUND(G253*14%,2)+0.2</f>
        <v>3.98</v>
      </c>
      <c r="AL253" s="127">
        <v>0</v>
      </c>
      <c r="AM253" s="127">
        <v>0</v>
      </c>
      <c r="AN253" s="127">
        <f t="shared" si="887"/>
        <v>7.5</v>
      </c>
      <c r="AO253" s="127">
        <f>ROUND(M253*18%,2)-0.05</f>
        <v>5.3500000000000005</v>
      </c>
      <c r="AP253" s="127">
        <f t="shared" si="889"/>
        <v>85.5</v>
      </c>
      <c r="AQ253" s="127">
        <f t="shared" si="890"/>
        <v>28.15</v>
      </c>
      <c r="AR253" s="127">
        <f t="shared" si="891"/>
        <v>13.25</v>
      </c>
      <c r="AS253" s="127">
        <f t="shared" si="892"/>
        <v>7.6</v>
      </c>
      <c r="AT253" s="127">
        <f t="shared" si="893"/>
        <v>0</v>
      </c>
      <c r="AU253" s="127">
        <f t="shared" si="894"/>
        <v>0</v>
      </c>
      <c r="AV253" s="127">
        <f t="shared" si="895"/>
        <v>7.5</v>
      </c>
      <c r="AW253" s="127">
        <f t="shared" si="896"/>
        <v>8.4499999999999993</v>
      </c>
      <c r="AX253" s="127"/>
      <c r="AY253" s="127"/>
      <c r="AZ253" s="127">
        <f t="shared" si="870"/>
        <v>256.61</v>
      </c>
      <c r="BA253" s="127">
        <f t="shared" si="958"/>
        <v>61.199999999999996</v>
      </c>
      <c r="BB253" s="127">
        <f t="shared" si="872"/>
        <v>39.78</v>
      </c>
      <c r="BC253" s="127">
        <f t="shared" si="872"/>
        <v>16.559999999999999</v>
      </c>
      <c r="BD253" s="127">
        <f t="shared" si="871"/>
        <v>0</v>
      </c>
      <c r="BE253" s="127">
        <f t="shared" si="866"/>
        <v>0</v>
      </c>
      <c r="BF253" s="127">
        <f t="shared" si="866"/>
        <v>22.5</v>
      </c>
      <c r="BG253" s="127">
        <f t="shared" si="866"/>
        <v>18.3</v>
      </c>
      <c r="BH253" s="2"/>
      <c r="BI253" s="2"/>
      <c r="BJ253" s="2"/>
      <c r="BK253" s="2"/>
    </row>
    <row r="254" spans="1:70" ht="20.100000000000001" customHeight="1" x14ac:dyDescent="0.3">
      <c r="A254" s="15">
        <v>11</v>
      </c>
      <c r="B254" s="16" t="s">
        <v>185</v>
      </c>
      <c r="C254" s="17">
        <v>93</v>
      </c>
      <c r="D254" s="17">
        <v>37</v>
      </c>
      <c r="E254" s="19" t="e">
        <f>C254+D254+#REF!+#REF!</f>
        <v>#REF!</v>
      </c>
      <c r="F254" s="17">
        <v>0</v>
      </c>
      <c r="G254" s="28">
        <v>0</v>
      </c>
      <c r="H254" s="19" t="e">
        <f>F254+G254+#REF!</f>
        <v>#REF!</v>
      </c>
      <c r="I254" s="17">
        <v>0</v>
      </c>
      <c r="J254" s="17">
        <v>0</v>
      </c>
      <c r="K254" s="19">
        <f t="shared" si="940"/>
        <v>0</v>
      </c>
      <c r="L254" s="28">
        <v>0</v>
      </c>
      <c r="M254" s="28">
        <v>0</v>
      </c>
      <c r="N254" s="19">
        <f t="shared" si="831"/>
        <v>0</v>
      </c>
      <c r="O254" s="19">
        <f t="shared" si="960"/>
        <v>93</v>
      </c>
      <c r="P254" s="20">
        <f t="shared" si="960"/>
        <v>37</v>
      </c>
      <c r="Q254" s="19">
        <f t="shared" si="957"/>
        <v>130</v>
      </c>
      <c r="R254" s="17">
        <f t="shared" si="945"/>
        <v>23.25</v>
      </c>
      <c r="S254" s="17">
        <f t="shared" si="862"/>
        <v>5.55</v>
      </c>
      <c r="T254" s="17">
        <f t="shared" si="943"/>
        <v>0</v>
      </c>
      <c r="U254" s="17">
        <f t="shared" si="863"/>
        <v>0</v>
      </c>
      <c r="V254" s="17">
        <f t="shared" si="944"/>
        <v>0</v>
      </c>
      <c r="W254" s="17">
        <f t="shared" si="864"/>
        <v>0</v>
      </c>
      <c r="X254" s="17">
        <f t="shared" si="961"/>
        <v>0</v>
      </c>
      <c r="Y254" s="113">
        <f t="shared" si="865"/>
        <v>0</v>
      </c>
      <c r="Z254" s="127">
        <f t="shared" si="946"/>
        <v>16.02</v>
      </c>
      <c r="AA254" s="127">
        <f t="shared" si="962"/>
        <v>1.5</v>
      </c>
      <c r="AB254" s="127">
        <f t="shared" si="948"/>
        <v>0</v>
      </c>
      <c r="AC254" s="127">
        <f t="shared" si="949"/>
        <v>0</v>
      </c>
      <c r="AD254" s="127">
        <f t="shared" si="907"/>
        <v>0</v>
      </c>
      <c r="AE254" s="127">
        <f t="shared" si="908"/>
        <v>0</v>
      </c>
      <c r="AF254" s="127">
        <v>0</v>
      </c>
      <c r="AG254" s="127">
        <v>0</v>
      </c>
      <c r="AH254" s="127">
        <f t="shared" si="950"/>
        <v>7.25</v>
      </c>
      <c r="AI254" s="127">
        <f t="shared" si="951"/>
        <v>5.18</v>
      </c>
      <c r="AJ254" s="127">
        <f t="shared" si="952"/>
        <v>0</v>
      </c>
      <c r="AK254" s="127">
        <f t="shared" si="925"/>
        <v>0</v>
      </c>
      <c r="AL254" s="127">
        <v>0</v>
      </c>
      <c r="AM254" s="127">
        <v>0</v>
      </c>
      <c r="AN254" s="127">
        <f t="shared" si="887"/>
        <v>0</v>
      </c>
      <c r="AO254" s="127">
        <f t="shared" si="888"/>
        <v>0</v>
      </c>
      <c r="AP254" s="127">
        <f t="shared" si="889"/>
        <v>23.25</v>
      </c>
      <c r="AQ254" s="127">
        <f t="shared" si="890"/>
        <v>10.42</v>
      </c>
      <c r="AR254" s="127">
        <f t="shared" si="891"/>
        <v>0</v>
      </c>
      <c r="AS254" s="127">
        <f t="shared" si="892"/>
        <v>0</v>
      </c>
      <c r="AT254" s="127">
        <f t="shared" si="893"/>
        <v>0</v>
      </c>
      <c r="AU254" s="127">
        <f t="shared" si="894"/>
        <v>0</v>
      </c>
      <c r="AV254" s="127">
        <f t="shared" si="895"/>
        <v>0</v>
      </c>
      <c r="AW254" s="127">
        <f t="shared" si="896"/>
        <v>0</v>
      </c>
      <c r="AX254" s="127"/>
      <c r="AY254" s="127"/>
      <c r="AZ254" s="127">
        <f t="shared" si="870"/>
        <v>69.77</v>
      </c>
      <c r="BA254" s="127">
        <f t="shared" si="958"/>
        <v>22.650000000000002</v>
      </c>
      <c r="BB254" s="127">
        <f t="shared" si="872"/>
        <v>0</v>
      </c>
      <c r="BC254" s="127">
        <f t="shared" si="872"/>
        <v>0</v>
      </c>
      <c r="BD254" s="127">
        <f t="shared" si="871"/>
        <v>0</v>
      </c>
      <c r="BE254" s="127">
        <f t="shared" si="866"/>
        <v>0</v>
      </c>
      <c r="BF254" s="127">
        <f t="shared" si="866"/>
        <v>0</v>
      </c>
      <c r="BG254" s="127">
        <f t="shared" si="866"/>
        <v>0</v>
      </c>
      <c r="BH254" s="2"/>
      <c r="BI254" s="2"/>
      <c r="BJ254" s="2"/>
      <c r="BK254" s="2"/>
    </row>
    <row r="255" spans="1:70" s="6" customFormat="1" ht="20.100000000000001" customHeight="1" x14ac:dyDescent="0.3">
      <c r="A255" s="76"/>
      <c r="B255" s="77" t="s">
        <v>182</v>
      </c>
      <c r="C255" s="78">
        <f>+C251+C252+C253+C254</f>
        <v>1250</v>
      </c>
      <c r="D255" s="78">
        <f t="shared" ref="D255:BG255" si="963">+D251+D252+D253+D254</f>
        <v>317</v>
      </c>
      <c r="E255" s="78" t="e">
        <f t="shared" si="963"/>
        <v>#REF!</v>
      </c>
      <c r="F255" s="78">
        <f t="shared" si="963"/>
        <v>93</v>
      </c>
      <c r="G255" s="78">
        <f t="shared" si="963"/>
        <v>42</v>
      </c>
      <c r="H255" s="78" t="e">
        <f t="shared" si="963"/>
        <v>#REF!</v>
      </c>
      <c r="I255" s="78">
        <f t="shared" si="963"/>
        <v>0</v>
      </c>
      <c r="J255" s="78">
        <f t="shared" si="963"/>
        <v>0</v>
      </c>
      <c r="K255" s="78">
        <f t="shared" si="963"/>
        <v>0</v>
      </c>
      <c r="L255" s="78">
        <f t="shared" si="963"/>
        <v>60</v>
      </c>
      <c r="M255" s="78">
        <f t="shared" si="963"/>
        <v>40</v>
      </c>
      <c r="N255" s="78">
        <f t="shared" si="963"/>
        <v>100</v>
      </c>
      <c r="O255" s="78">
        <f t="shared" si="963"/>
        <v>1403</v>
      </c>
      <c r="P255" s="78">
        <f t="shared" si="963"/>
        <v>399</v>
      </c>
      <c r="Q255" s="78">
        <f t="shared" si="963"/>
        <v>1802</v>
      </c>
      <c r="R255" s="78">
        <f t="shared" si="963"/>
        <v>312.5</v>
      </c>
      <c r="S255" s="78">
        <f t="shared" si="963"/>
        <v>47.55</v>
      </c>
      <c r="T255" s="78">
        <f t="shared" si="963"/>
        <v>23.25</v>
      </c>
      <c r="U255" s="78">
        <f t="shared" si="963"/>
        <v>6.3</v>
      </c>
      <c r="V255" s="78">
        <f t="shared" si="963"/>
        <v>0</v>
      </c>
      <c r="W255" s="78">
        <f t="shared" si="963"/>
        <v>0</v>
      </c>
      <c r="X255" s="78">
        <f t="shared" si="963"/>
        <v>15</v>
      </c>
      <c r="Y255" s="114">
        <f t="shared" si="963"/>
        <v>6</v>
      </c>
      <c r="Z255" s="78">
        <f t="shared" si="963"/>
        <v>215.36</v>
      </c>
      <c r="AA255" s="78">
        <f t="shared" si="963"/>
        <v>12.85</v>
      </c>
      <c r="AB255" s="78">
        <f t="shared" si="963"/>
        <v>5.41</v>
      </c>
      <c r="AC255" s="78">
        <f t="shared" si="963"/>
        <v>1.4500000000000002</v>
      </c>
      <c r="AD255" s="78">
        <f t="shared" si="963"/>
        <v>0</v>
      </c>
      <c r="AE255" s="78">
        <f t="shared" si="963"/>
        <v>0</v>
      </c>
      <c r="AF255" s="78">
        <f t="shared" si="963"/>
        <v>0</v>
      </c>
      <c r="AG255" s="78">
        <f t="shared" si="963"/>
        <v>0</v>
      </c>
      <c r="AH255" s="78">
        <f t="shared" si="963"/>
        <v>97</v>
      </c>
      <c r="AI255" s="78">
        <f t="shared" si="963"/>
        <v>43.38</v>
      </c>
      <c r="AJ255" s="78">
        <f t="shared" si="963"/>
        <v>17.8</v>
      </c>
      <c r="AK255" s="78">
        <f t="shared" si="963"/>
        <v>6.08</v>
      </c>
      <c r="AL255" s="78">
        <f t="shared" si="963"/>
        <v>0</v>
      </c>
      <c r="AM255" s="78">
        <f t="shared" si="963"/>
        <v>0</v>
      </c>
      <c r="AN255" s="78">
        <f t="shared" si="963"/>
        <v>15</v>
      </c>
      <c r="AO255" s="78">
        <f t="shared" si="963"/>
        <v>7.15</v>
      </c>
      <c r="AP255" s="78">
        <f t="shared" si="963"/>
        <v>312.5</v>
      </c>
      <c r="AQ255" s="78">
        <f t="shared" si="963"/>
        <v>89.249999999999986</v>
      </c>
      <c r="AR255" s="78">
        <f t="shared" si="963"/>
        <v>23.25</v>
      </c>
      <c r="AS255" s="78">
        <f t="shared" si="963"/>
        <v>11.82</v>
      </c>
      <c r="AT255" s="78">
        <f t="shared" si="963"/>
        <v>0</v>
      </c>
      <c r="AU255" s="78">
        <f t="shared" si="963"/>
        <v>0</v>
      </c>
      <c r="AV255" s="78">
        <f t="shared" si="963"/>
        <v>15</v>
      </c>
      <c r="AW255" s="78">
        <f t="shared" si="963"/>
        <v>11.27</v>
      </c>
      <c r="AX255" s="78">
        <f t="shared" si="963"/>
        <v>0</v>
      </c>
      <c r="AY255" s="78">
        <f t="shared" si="963"/>
        <v>0</v>
      </c>
      <c r="AZ255" s="78">
        <f t="shared" si="963"/>
        <v>937.36</v>
      </c>
      <c r="BA255" s="78">
        <f t="shared" si="963"/>
        <v>193.03</v>
      </c>
      <c r="BB255" s="78">
        <f t="shared" si="963"/>
        <v>69.710000000000008</v>
      </c>
      <c r="BC255" s="78">
        <f t="shared" si="963"/>
        <v>25.65</v>
      </c>
      <c r="BD255" s="78">
        <f t="shared" si="963"/>
        <v>0</v>
      </c>
      <c r="BE255" s="78">
        <f t="shared" si="963"/>
        <v>0</v>
      </c>
      <c r="BF255" s="78">
        <f t="shared" si="963"/>
        <v>45</v>
      </c>
      <c r="BG255" s="78">
        <f t="shared" si="963"/>
        <v>24.42</v>
      </c>
      <c r="BH255" s="78"/>
      <c r="BI255" s="78"/>
      <c r="BJ255" s="78"/>
      <c r="BK255" s="78"/>
    </row>
    <row r="256" spans="1:70" ht="20.100000000000001" customHeight="1" x14ac:dyDescent="0.3">
      <c r="A256" s="15">
        <v>13</v>
      </c>
      <c r="B256" s="16" t="s">
        <v>186</v>
      </c>
      <c r="C256" s="17">
        <v>535</v>
      </c>
      <c r="D256" s="17">
        <v>143</v>
      </c>
      <c r="E256" s="19" t="e">
        <f>C256+D256+#REF!+#REF!</f>
        <v>#REF!</v>
      </c>
      <c r="F256" s="17">
        <v>0</v>
      </c>
      <c r="G256" s="28">
        <v>0</v>
      </c>
      <c r="H256" s="19" t="e">
        <f>F256+G256+#REF!</f>
        <v>#REF!</v>
      </c>
      <c r="I256" s="17">
        <v>0</v>
      </c>
      <c r="J256" s="17">
        <v>0</v>
      </c>
      <c r="K256" s="19">
        <f t="shared" si="940"/>
        <v>0</v>
      </c>
      <c r="L256" s="28">
        <v>58</v>
      </c>
      <c r="M256" s="28">
        <v>32</v>
      </c>
      <c r="N256" s="19">
        <f t="shared" si="831"/>
        <v>90</v>
      </c>
      <c r="O256" s="19">
        <f>C256+F256+I256+L256</f>
        <v>593</v>
      </c>
      <c r="P256" s="20">
        <f>D256+G256+J256+M256</f>
        <v>175</v>
      </c>
      <c r="Q256" s="19">
        <f t="shared" si="957"/>
        <v>768</v>
      </c>
      <c r="R256" s="17">
        <f t="shared" si="945"/>
        <v>133.75</v>
      </c>
      <c r="S256" s="17">
        <f t="shared" si="862"/>
        <v>21.45</v>
      </c>
      <c r="T256" s="17">
        <f t="shared" si="943"/>
        <v>0</v>
      </c>
      <c r="U256" s="17">
        <f t="shared" si="863"/>
        <v>0</v>
      </c>
      <c r="V256" s="17">
        <f t="shared" si="944"/>
        <v>0</v>
      </c>
      <c r="W256" s="17">
        <f t="shared" si="864"/>
        <v>0</v>
      </c>
      <c r="X256" s="17">
        <f t="shared" si="961"/>
        <v>14.5</v>
      </c>
      <c r="Y256" s="113">
        <f t="shared" si="865"/>
        <v>4.8</v>
      </c>
      <c r="Z256" s="127">
        <f>ROUND(C256*17.23%,2)-0.01</f>
        <v>92.17</v>
      </c>
      <c r="AA256" s="127">
        <f t="shared" si="962"/>
        <v>5.79</v>
      </c>
      <c r="AB256" s="127">
        <f t="shared" si="948"/>
        <v>0</v>
      </c>
      <c r="AC256" s="127">
        <f t="shared" si="949"/>
        <v>0</v>
      </c>
      <c r="AD256" s="127">
        <f t="shared" si="907"/>
        <v>0</v>
      </c>
      <c r="AE256" s="127">
        <f t="shared" si="908"/>
        <v>0</v>
      </c>
      <c r="AF256" s="127">
        <v>0</v>
      </c>
      <c r="AG256" s="127">
        <v>0</v>
      </c>
      <c r="AH256" s="127">
        <f>ROUND(C256*7.8%,2)-0.5</f>
        <v>41.23</v>
      </c>
      <c r="AI256" s="127">
        <f>ROUND(D256*14%,2)-0.17</f>
        <v>19.849999999999998</v>
      </c>
      <c r="AJ256" s="127">
        <f t="shared" si="952"/>
        <v>0</v>
      </c>
      <c r="AK256" s="127">
        <f t="shared" si="925"/>
        <v>0</v>
      </c>
      <c r="AL256" s="127">
        <v>0</v>
      </c>
      <c r="AM256" s="127">
        <v>0</v>
      </c>
      <c r="AN256" s="127">
        <f t="shared" si="887"/>
        <v>14.5</v>
      </c>
      <c r="AO256" s="127">
        <f>ROUND(M256*18%,2)-0.05</f>
        <v>5.71</v>
      </c>
      <c r="AP256" s="127">
        <f t="shared" si="889"/>
        <v>133.75</v>
      </c>
      <c r="AQ256" s="127">
        <f t="shared" si="890"/>
        <v>40.25</v>
      </c>
      <c r="AR256" s="127">
        <f t="shared" si="891"/>
        <v>0</v>
      </c>
      <c r="AS256" s="127">
        <f t="shared" si="892"/>
        <v>0</v>
      </c>
      <c r="AT256" s="127">
        <f t="shared" si="893"/>
        <v>0</v>
      </c>
      <c r="AU256" s="127">
        <f t="shared" si="894"/>
        <v>0</v>
      </c>
      <c r="AV256" s="127">
        <f t="shared" si="895"/>
        <v>14.5</v>
      </c>
      <c r="AW256" s="127">
        <f t="shared" si="896"/>
        <v>9.01</v>
      </c>
      <c r="AX256" s="127"/>
      <c r="AY256" s="127"/>
      <c r="AZ256" s="127">
        <f t="shared" si="870"/>
        <v>400.9</v>
      </c>
      <c r="BA256" s="127">
        <f t="shared" si="958"/>
        <v>87.34</v>
      </c>
      <c r="BB256" s="127">
        <f t="shared" si="872"/>
        <v>0</v>
      </c>
      <c r="BC256" s="127">
        <f t="shared" si="872"/>
        <v>0</v>
      </c>
      <c r="BD256" s="127">
        <f t="shared" si="871"/>
        <v>0</v>
      </c>
      <c r="BE256" s="127">
        <f t="shared" si="866"/>
        <v>0</v>
      </c>
      <c r="BF256" s="127">
        <f t="shared" si="866"/>
        <v>43.5</v>
      </c>
      <c r="BG256" s="127">
        <f t="shared" si="866"/>
        <v>19.52</v>
      </c>
      <c r="BH256" s="2"/>
      <c r="BI256" s="2"/>
      <c r="BJ256" s="2"/>
      <c r="BK256" s="2"/>
    </row>
    <row r="257" spans="1:64" ht="20.100000000000001" customHeight="1" x14ac:dyDescent="0.3">
      <c r="A257" s="15">
        <v>14</v>
      </c>
      <c r="B257" s="16" t="s">
        <v>187</v>
      </c>
      <c r="C257" s="17">
        <v>50</v>
      </c>
      <c r="D257" s="17">
        <v>15</v>
      </c>
      <c r="E257" s="19" t="e">
        <f>C257+D257+#REF!+#REF!</f>
        <v>#REF!</v>
      </c>
      <c r="F257" s="17">
        <v>0</v>
      </c>
      <c r="G257" s="28">
        <v>0</v>
      </c>
      <c r="H257" s="19" t="e">
        <f>F257+G257+#REF!</f>
        <v>#REF!</v>
      </c>
      <c r="I257" s="17">
        <v>0</v>
      </c>
      <c r="J257" s="17">
        <v>0</v>
      </c>
      <c r="K257" s="19">
        <f t="shared" si="940"/>
        <v>0</v>
      </c>
      <c r="L257" s="28">
        <v>0</v>
      </c>
      <c r="M257" s="28">
        <v>0</v>
      </c>
      <c r="N257" s="19">
        <f t="shared" si="831"/>
        <v>0</v>
      </c>
      <c r="O257" s="19">
        <f>C257+F257+I257+L257</f>
        <v>50</v>
      </c>
      <c r="P257" s="20">
        <f>D257+G257+J257+M257</f>
        <v>15</v>
      </c>
      <c r="Q257" s="19">
        <f t="shared" si="957"/>
        <v>65</v>
      </c>
      <c r="R257" s="17">
        <f t="shared" si="945"/>
        <v>12.5</v>
      </c>
      <c r="S257" s="17">
        <f t="shared" si="862"/>
        <v>2.25</v>
      </c>
      <c r="T257" s="17">
        <f t="shared" si="943"/>
        <v>0</v>
      </c>
      <c r="U257" s="17">
        <f t="shared" si="863"/>
        <v>0</v>
      </c>
      <c r="V257" s="17">
        <f t="shared" si="944"/>
        <v>0</v>
      </c>
      <c r="W257" s="17">
        <f t="shared" si="864"/>
        <v>0</v>
      </c>
      <c r="X257" s="17">
        <f t="shared" si="961"/>
        <v>0</v>
      </c>
      <c r="Y257" s="113">
        <f t="shared" si="865"/>
        <v>0</v>
      </c>
      <c r="Z257" s="127">
        <f t="shared" si="946"/>
        <v>8.6199999999999992</v>
      </c>
      <c r="AA257" s="127">
        <f t="shared" si="962"/>
        <v>0.61</v>
      </c>
      <c r="AB257" s="127">
        <f t="shared" si="948"/>
        <v>0</v>
      </c>
      <c r="AC257" s="127">
        <f t="shared" si="949"/>
        <v>0</v>
      </c>
      <c r="AD257" s="127">
        <f t="shared" si="907"/>
        <v>0</v>
      </c>
      <c r="AE257" s="127">
        <f t="shared" si="908"/>
        <v>0</v>
      </c>
      <c r="AF257" s="127">
        <v>0</v>
      </c>
      <c r="AG257" s="127">
        <v>0</v>
      </c>
      <c r="AH257" s="127">
        <f t="shared" si="950"/>
        <v>3.9</v>
      </c>
      <c r="AI257" s="127">
        <f t="shared" si="951"/>
        <v>2.1</v>
      </c>
      <c r="AJ257" s="127">
        <f t="shared" si="952"/>
        <v>0</v>
      </c>
      <c r="AK257" s="127">
        <f t="shared" si="925"/>
        <v>0</v>
      </c>
      <c r="AL257" s="127">
        <v>0</v>
      </c>
      <c r="AM257" s="127">
        <v>0</v>
      </c>
      <c r="AN257" s="127">
        <f t="shared" si="887"/>
        <v>0</v>
      </c>
      <c r="AO257" s="127">
        <f t="shared" si="888"/>
        <v>0</v>
      </c>
      <c r="AP257" s="127">
        <f t="shared" si="889"/>
        <v>12.5</v>
      </c>
      <c r="AQ257" s="127">
        <f t="shared" si="890"/>
        <v>4.22</v>
      </c>
      <c r="AR257" s="127">
        <f t="shared" si="891"/>
        <v>0</v>
      </c>
      <c r="AS257" s="127">
        <f t="shared" si="892"/>
        <v>0</v>
      </c>
      <c r="AT257" s="127">
        <f t="shared" si="893"/>
        <v>0</v>
      </c>
      <c r="AU257" s="127">
        <f t="shared" si="894"/>
        <v>0</v>
      </c>
      <c r="AV257" s="127">
        <f t="shared" si="895"/>
        <v>0</v>
      </c>
      <c r="AW257" s="127">
        <f t="shared" si="896"/>
        <v>0</v>
      </c>
      <c r="AX257" s="127"/>
      <c r="AY257" s="127"/>
      <c r="AZ257" s="127">
        <f t="shared" si="870"/>
        <v>37.519999999999996</v>
      </c>
      <c r="BA257" s="127">
        <f t="shared" si="958"/>
        <v>9.18</v>
      </c>
      <c r="BB257" s="127">
        <f t="shared" si="872"/>
        <v>0</v>
      </c>
      <c r="BC257" s="127">
        <f t="shared" si="872"/>
        <v>0</v>
      </c>
      <c r="BD257" s="127">
        <f t="shared" si="871"/>
        <v>0</v>
      </c>
      <c r="BE257" s="127">
        <f t="shared" si="866"/>
        <v>0</v>
      </c>
      <c r="BF257" s="127">
        <f t="shared" si="866"/>
        <v>0</v>
      </c>
      <c r="BG257" s="127">
        <f t="shared" si="866"/>
        <v>0</v>
      </c>
      <c r="BH257" s="2"/>
      <c r="BI257" s="2"/>
      <c r="BJ257" s="2"/>
      <c r="BK257" s="2"/>
    </row>
    <row r="258" spans="1:64" s="6" customFormat="1" ht="20.100000000000001" customHeight="1" x14ac:dyDescent="0.3">
      <c r="A258" s="76"/>
      <c r="B258" s="77" t="s">
        <v>186</v>
      </c>
      <c r="C258" s="78">
        <f>+C256+C257</f>
        <v>585</v>
      </c>
      <c r="D258" s="78">
        <f t="shared" ref="D258:K258" si="964">+D256+D257</f>
        <v>158</v>
      </c>
      <c r="E258" s="78" t="e">
        <f t="shared" si="964"/>
        <v>#REF!</v>
      </c>
      <c r="F258" s="78">
        <f t="shared" si="964"/>
        <v>0</v>
      </c>
      <c r="G258" s="78">
        <f t="shared" si="964"/>
        <v>0</v>
      </c>
      <c r="H258" s="78" t="e">
        <f t="shared" si="964"/>
        <v>#REF!</v>
      </c>
      <c r="I258" s="78">
        <f t="shared" si="964"/>
        <v>0</v>
      </c>
      <c r="J258" s="78">
        <f t="shared" si="964"/>
        <v>0</v>
      </c>
      <c r="K258" s="78">
        <f t="shared" si="964"/>
        <v>0</v>
      </c>
      <c r="L258" s="78">
        <f t="shared" ref="L258" si="965">+L256+L257</f>
        <v>58</v>
      </c>
      <c r="M258" s="78">
        <f t="shared" ref="M258:BG258" si="966">+M256+M257</f>
        <v>32</v>
      </c>
      <c r="N258" s="78">
        <f t="shared" si="966"/>
        <v>90</v>
      </c>
      <c r="O258" s="78">
        <f t="shared" si="966"/>
        <v>643</v>
      </c>
      <c r="P258" s="78">
        <f t="shared" si="966"/>
        <v>190</v>
      </c>
      <c r="Q258" s="78">
        <f t="shared" si="966"/>
        <v>833</v>
      </c>
      <c r="R258" s="78">
        <f t="shared" si="966"/>
        <v>146.25</v>
      </c>
      <c r="S258" s="78">
        <f t="shared" si="966"/>
        <v>23.7</v>
      </c>
      <c r="T258" s="78">
        <f t="shared" si="966"/>
        <v>0</v>
      </c>
      <c r="U258" s="78">
        <f t="shared" si="966"/>
        <v>0</v>
      </c>
      <c r="V258" s="78">
        <f t="shared" si="966"/>
        <v>0</v>
      </c>
      <c r="W258" s="78">
        <f t="shared" si="966"/>
        <v>0</v>
      </c>
      <c r="X258" s="78">
        <f t="shared" si="966"/>
        <v>14.5</v>
      </c>
      <c r="Y258" s="114">
        <f t="shared" si="966"/>
        <v>4.8</v>
      </c>
      <c r="Z258" s="78">
        <f t="shared" si="966"/>
        <v>100.79</v>
      </c>
      <c r="AA258" s="78">
        <f t="shared" si="966"/>
        <v>6.4</v>
      </c>
      <c r="AB258" s="78">
        <f t="shared" si="966"/>
        <v>0</v>
      </c>
      <c r="AC258" s="78">
        <f t="shared" si="966"/>
        <v>0</v>
      </c>
      <c r="AD258" s="78">
        <f t="shared" si="966"/>
        <v>0</v>
      </c>
      <c r="AE258" s="78">
        <f t="shared" si="966"/>
        <v>0</v>
      </c>
      <c r="AF258" s="78">
        <f t="shared" si="966"/>
        <v>0</v>
      </c>
      <c r="AG258" s="78">
        <f t="shared" si="966"/>
        <v>0</v>
      </c>
      <c r="AH258" s="78">
        <f t="shared" si="966"/>
        <v>45.129999999999995</v>
      </c>
      <c r="AI258" s="78">
        <f t="shared" si="966"/>
        <v>21.95</v>
      </c>
      <c r="AJ258" s="78">
        <f t="shared" si="966"/>
        <v>0</v>
      </c>
      <c r="AK258" s="78">
        <f t="shared" si="966"/>
        <v>0</v>
      </c>
      <c r="AL258" s="78">
        <f t="shared" si="966"/>
        <v>0</v>
      </c>
      <c r="AM258" s="78">
        <f t="shared" si="966"/>
        <v>0</v>
      </c>
      <c r="AN258" s="78">
        <f t="shared" si="966"/>
        <v>14.5</v>
      </c>
      <c r="AO258" s="78">
        <f t="shared" si="966"/>
        <v>5.71</v>
      </c>
      <c r="AP258" s="78">
        <f t="shared" si="966"/>
        <v>146.25</v>
      </c>
      <c r="AQ258" s="78">
        <f t="shared" si="966"/>
        <v>44.47</v>
      </c>
      <c r="AR258" s="78">
        <f t="shared" si="966"/>
        <v>0</v>
      </c>
      <c r="AS258" s="78">
        <f t="shared" si="966"/>
        <v>0</v>
      </c>
      <c r="AT258" s="78">
        <f t="shared" si="966"/>
        <v>0</v>
      </c>
      <c r="AU258" s="78">
        <f t="shared" si="966"/>
        <v>0</v>
      </c>
      <c r="AV258" s="78">
        <f t="shared" si="966"/>
        <v>14.5</v>
      </c>
      <c r="AW258" s="78">
        <f t="shared" si="966"/>
        <v>9.01</v>
      </c>
      <c r="AX258" s="78">
        <f t="shared" si="966"/>
        <v>0</v>
      </c>
      <c r="AY258" s="78">
        <f t="shared" si="966"/>
        <v>0</v>
      </c>
      <c r="AZ258" s="78">
        <f t="shared" si="966"/>
        <v>438.41999999999996</v>
      </c>
      <c r="BA258" s="78">
        <f t="shared" si="966"/>
        <v>96.52000000000001</v>
      </c>
      <c r="BB258" s="78">
        <f t="shared" si="966"/>
        <v>0</v>
      </c>
      <c r="BC258" s="78">
        <f t="shared" si="966"/>
        <v>0</v>
      </c>
      <c r="BD258" s="78">
        <f t="shared" si="966"/>
        <v>0</v>
      </c>
      <c r="BE258" s="78">
        <f t="shared" si="966"/>
        <v>0</v>
      </c>
      <c r="BF258" s="78">
        <f t="shared" si="966"/>
        <v>43.5</v>
      </c>
      <c r="BG258" s="78">
        <f t="shared" si="966"/>
        <v>19.52</v>
      </c>
      <c r="BH258" s="84"/>
      <c r="BI258" s="84"/>
      <c r="BJ258" s="84"/>
      <c r="BK258" s="84"/>
    </row>
    <row r="259" spans="1:64" ht="20.100000000000001" customHeight="1" x14ac:dyDescent="0.3">
      <c r="A259" s="15">
        <v>15</v>
      </c>
      <c r="B259" s="16" t="s">
        <v>188</v>
      </c>
      <c r="C259" s="17">
        <v>408</v>
      </c>
      <c r="D259" s="17">
        <v>101</v>
      </c>
      <c r="E259" s="19" t="e">
        <f>C259+D259+#REF!+#REF!</f>
        <v>#REF!</v>
      </c>
      <c r="F259" s="17">
        <v>0</v>
      </c>
      <c r="G259" s="28">
        <v>0</v>
      </c>
      <c r="H259" s="19" t="e">
        <f>F259+G259+#REF!</f>
        <v>#REF!</v>
      </c>
      <c r="I259" s="17">
        <v>0</v>
      </c>
      <c r="J259" s="17">
        <v>0</v>
      </c>
      <c r="K259" s="19">
        <f t="shared" si="940"/>
        <v>0</v>
      </c>
      <c r="L259" s="28">
        <v>50</v>
      </c>
      <c r="M259" s="28">
        <v>47</v>
      </c>
      <c r="N259" s="19">
        <f t="shared" si="831"/>
        <v>97</v>
      </c>
      <c r="O259" s="19">
        <f t="shared" ref="O259:P261" si="967">C259+F259+I259+L259</f>
        <v>458</v>
      </c>
      <c r="P259" s="20">
        <f t="shared" si="967"/>
        <v>148</v>
      </c>
      <c r="Q259" s="19">
        <f t="shared" si="957"/>
        <v>606</v>
      </c>
      <c r="R259" s="17">
        <f t="shared" si="945"/>
        <v>102</v>
      </c>
      <c r="S259" s="17">
        <f t="shared" ref="S259:S291" si="968">ROUND(D259*0.15,2)</f>
        <v>15.15</v>
      </c>
      <c r="T259" s="17">
        <f t="shared" si="943"/>
        <v>0</v>
      </c>
      <c r="U259" s="17">
        <f t="shared" ref="U259:U306" si="969">ROUND(G259*0.15,2)</f>
        <v>0</v>
      </c>
      <c r="V259" s="17">
        <f t="shared" si="944"/>
        <v>0</v>
      </c>
      <c r="W259" s="17">
        <f t="shared" ref="W259:W306" si="970">ROUND(J259*0.15,2)</f>
        <v>0</v>
      </c>
      <c r="X259" s="17">
        <v>25</v>
      </c>
      <c r="Y259" s="113">
        <f t="shared" ref="Y259:Y306" si="971">ROUND(M259*0.15,2)</f>
        <v>7.05</v>
      </c>
      <c r="Z259" s="127">
        <f t="shared" si="946"/>
        <v>70.3</v>
      </c>
      <c r="AA259" s="127">
        <f t="shared" si="962"/>
        <v>4.09</v>
      </c>
      <c r="AB259" s="127">
        <f t="shared" si="948"/>
        <v>0</v>
      </c>
      <c r="AC259" s="127">
        <f t="shared" si="949"/>
        <v>0</v>
      </c>
      <c r="AD259" s="127">
        <f t="shared" si="907"/>
        <v>0</v>
      </c>
      <c r="AE259" s="127">
        <f t="shared" si="908"/>
        <v>0</v>
      </c>
      <c r="AF259" s="127">
        <v>0</v>
      </c>
      <c r="AG259" s="127">
        <v>0</v>
      </c>
      <c r="AH259" s="127">
        <f t="shared" si="950"/>
        <v>31.82</v>
      </c>
      <c r="AI259" s="127">
        <f t="shared" si="951"/>
        <v>14.14</v>
      </c>
      <c r="AJ259" s="127">
        <f t="shared" si="952"/>
        <v>0</v>
      </c>
      <c r="AK259" s="127">
        <f t="shared" si="925"/>
        <v>0</v>
      </c>
      <c r="AL259" s="127">
        <v>0</v>
      </c>
      <c r="AM259" s="127">
        <v>0</v>
      </c>
      <c r="AN259" s="127">
        <f>ROUND(L259*50%-X259,2)</f>
        <v>0</v>
      </c>
      <c r="AO259" s="127">
        <f>ROUND(M259*18%,2)-0.05</f>
        <v>8.41</v>
      </c>
      <c r="AP259" s="127">
        <f t="shared" si="889"/>
        <v>102</v>
      </c>
      <c r="AQ259" s="127">
        <f t="shared" si="890"/>
        <v>28.43</v>
      </c>
      <c r="AR259" s="127">
        <f t="shared" si="891"/>
        <v>0</v>
      </c>
      <c r="AS259" s="127">
        <f t="shared" si="892"/>
        <v>0</v>
      </c>
      <c r="AT259" s="127">
        <f t="shared" si="893"/>
        <v>0</v>
      </c>
      <c r="AU259" s="127">
        <f t="shared" si="894"/>
        <v>0</v>
      </c>
      <c r="AV259" s="127">
        <f t="shared" si="895"/>
        <v>12.5</v>
      </c>
      <c r="AW259" s="127">
        <f t="shared" si="896"/>
        <v>13.23</v>
      </c>
      <c r="AX259" s="127"/>
      <c r="AY259" s="127"/>
      <c r="AZ259" s="127">
        <f t="shared" si="870"/>
        <v>306.12</v>
      </c>
      <c r="BA259" s="127">
        <f t="shared" si="958"/>
        <v>61.809999999999995</v>
      </c>
      <c r="BB259" s="127">
        <f t="shared" si="872"/>
        <v>0</v>
      </c>
      <c r="BC259" s="127">
        <f t="shared" si="872"/>
        <v>0</v>
      </c>
      <c r="BD259" s="127">
        <f t="shared" si="871"/>
        <v>0</v>
      </c>
      <c r="BE259" s="127">
        <f t="shared" si="871"/>
        <v>0</v>
      </c>
      <c r="BF259" s="127">
        <f t="shared" si="871"/>
        <v>37.5</v>
      </c>
      <c r="BG259" s="127">
        <f t="shared" si="871"/>
        <v>28.69</v>
      </c>
      <c r="BH259" s="2"/>
      <c r="BI259" s="2"/>
      <c r="BJ259" s="2"/>
      <c r="BK259" s="2"/>
    </row>
    <row r="260" spans="1:64" ht="20.100000000000001" customHeight="1" x14ac:dyDescent="0.3">
      <c r="A260" s="15">
        <v>16</v>
      </c>
      <c r="B260" s="16" t="s">
        <v>189</v>
      </c>
      <c r="C260" s="17">
        <v>130</v>
      </c>
      <c r="D260" s="17">
        <v>20</v>
      </c>
      <c r="E260" s="19" t="e">
        <f>C260+D260+#REF!+#REF!</f>
        <v>#REF!</v>
      </c>
      <c r="F260" s="17">
        <v>0</v>
      </c>
      <c r="G260" s="28">
        <v>0</v>
      </c>
      <c r="H260" s="19" t="e">
        <f>F260+G260+#REF!</f>
        <v>#REF!</v>
      </c>
      <c r="I260" s="17">
        <v>0</v>
      </c>
      <c r="J260" s="17">
        <v>0</v>
      </c>
      <c r="K260" s="19">
        <f t="shared" si="940"/>
        <v>0</v>
      </c>
      <c r="L260" s="28">
        <v>0</v>
      </c>
      <c r="M260" s="28">
        <v>0</v>
      </c>
      <c r="N260" s="19">
        <f t="shared" ref="N260:N306" si="972">L260+M260</f>
        <v>0</v>
      </c>
      <c r="O260" s="19">
        <f t="shared" si="967"/>
        <v>130</v>
      </c>
      <c r="P260" s="20">
        <f t="shared" si="967"/>
        <v>20</v>
      </c>
      <c r="Q260" s="19">
        <f t="shared" si="957"/>
        <v>150</v>
      </c>
      <c r="R260" s="17">
        <f t="shared" si="945"/>
        <v>32.5</v>
      </c>
      <c r="S260" s="17">
        <f t="shared" si="968"/>
        <v>3</v>
      </c>
      <c r="T260" s="17">
        <f t="shared" si="943"/>
        <v>0</v>
      </c>
      <c r="U260" s="17">
        <f t="shared" si="969"/>
        <v>0</v>
      </c>
      <c r="V260" s="17">
        <f t="shared" si="944"/>
        <v>0</v>
      </c>
      <c r="W260" s="17">
        <f t="shared" si="970"/>
        <v>0</v>
      </c>
      <c r="X260" s="17">
        <f t="shared" si="961"/>
        <v>0</v>
      </c>
      <c r="Y260" s="113">
        <f t="shared" si="971"/>
        <v>0</v>
      </c>
      <c r="Z260" s="127">
        <f t="shared" si="946"/>
        <v>22.4</v>
      </c>
      <c r="AA260" s="127">
        <f t="shared" si="962"/>
        <v>0.81</v>
      </c>
      <c r="AB260" s="127">
        <f t="shared" si="948"/>
        <v>0</v>
      </c>
      <c r="AC260" s="127">
        <f t="shared" si="949"/>
        <v>0</v>
      </c>
      <c r="AD260" s="127">
        <f t="shared" ref="AD260:AD306" si="973">ROUND(I260*25%,2)</f>
        <v>0</v>
      </c>
      <c r="AE260" s="127">
        <f t="shared" ref="AE260:AE306" si="974">ROUND(J260*17.85%,2)</f>
        <v>0</v>
      </c>
      <c r="AF260" s="127">
        <v>0</v>
      </c>
      <c r="AG260" s="127">
        <v>0</v>
      </c>
      <c r="AH260" s="127">
        <f t="shared" si="950"/>
        <v>10.14</v>
      </c>
      <c r="AI260" s="127">
        <f t="shared" si="951"/>
        <v>2.8</v>
      </c>
      <c r="AJ260" s="127">
        <f t="shared" si="952"/>
        <v>0</v>
      </c>
      <c r="AK260" s="127">
        <f t="shared" si="925"/>
        <v>0</v>
      </c>
      <c r="AL260" s="127">
        <v>0</v>
      </c>
      <c r="AM260" s="127">
        <v>0</v>
      </c>
      <c r="AN260" s="127">
        <f t="shared" ref="AN260:AN261" si="975">ROUND(L260*50%-X260,2)</f>
        <v>0</v>
      </c>
      <c r="AO260" s="127">
        <f t="shared" si="888"/>
        <v>0</v>
      </c>
      <c r="AP260" s="127">
        <f t="shared" si="889"/>
        <v>32.5</v>
      </c>
      <c r="AQ260" s="127">
        <f t="shared" si="890"/>
        <v>5.63</v>
      </c>
      <c r="AR260" s="127">
        <f t="shared" si="891"/>
        <v>0</v>
      </c>
      <c r="AS260" s="127">
        <f t="shared" si="892"/>
        <v>0</v>
      </c>
      <c r="AT260" s="127">
        <f t="shared" si="893"/>
        <v>0</v>
      </c>
      <c r="AU260" s="127">
        <f t="shared" si="894"/>
        <v>0</v>
      </c>
      <c r="AV260" s="127">
        <f t="shared" si="895"/>
        <v>0</v>
      </c>
      <c r="AW260" s="127">
        <f t="shared" si="896"/>
        <v>0</v>
      </c>
      <c r="AX260" s="127"/>
      <c r="AY260" s="127"/>
      <c r="AZ260" s="127">
        <f t="shared" si="870"/>
        <v>97.539999999999992</v>
      </c>
      <c r="BA260" s="127">
        <f t="shared" si="958"/>
        <v>12.24</v>
      </c>
      <c r="BB260" s="127">
        <f t="shared" si="872"/>
        <v>0</v>
      </c>
      <c r="BC260" s="127">
        <f t="shared" si="872"/>
        <v>0</v>
      </c>
      <c r="BD260" s="127">
        <f t="shared" si="871"/>
        <v>0</v>
      </c>
      <c r="BE260" s="127">
        <f t="shared" si="871"/>
        <v>0</v>
      </c>
      <c r="BF260" s="127">
        <f t="shared" si="871"/>
        <v>0</v>
      </c>
      <c r="BG260" s="127">
        <f t="shared" si="871"/>
        <v>0</v>
      </c>
      <c r="BH260" s="2"/>
      <c r="BI260" s="2"/>
      <c r="BJ260" s="2"/>
      <c r="BK260" s="2"/>
    </row>
    <row r="261" spans="1:64" ht="20.100000000000001" customHeight="1" x14ac:dyDescent="0.3">
      <c r="A261" s="15">
        <v>17</v>
      </c>
      <c r="B261" s="16" t="s">
        <v>190</v>
      </c>
      <c r="C261" s="17">
        <v>130</v>
      </c>
      <c r="D261" s="17">
        <v>30</v>
      </c>
      <c r="E261" s="19" t="e">
        <f>C261+D261+#REF!+#REF!</f>
        <v>#REF!</v>
      </c>
      <c r="F261" s="17">
        <v>15</v>
      </c>
      <c r="G261" s="28">
        <v>0</v>
      </c>
      <c r="H261" s="19" t="e">
        <f>F261+G261+#REF!</f>
        <v>#REF!</v>
      </c>
      <c r="I261" s="17">
        <v>0</v>
      </c>
      <c r="J261" s="17">
        <v>0</v>
      </c>
      <c r="K261" s="19">
        <f t="shared" si="940"/>
        <v>0</v>
      </c>
      <c r="L261" s="28">
        <v>0</v>
      </c>
      <c r="M261" s="28">
        <v>0</v>
      </c>
      <c r="N261" s="19">
        <f t="shared" si="972"/>
        <v>0</v>
      </c>
      <c r="O261" s="19">
        <f t="shared" si="967"/>
        <v>145</v>
      </c>
      <c r="P261" s="20">
        <f t="shared" si="967"/>
        <v>30</v>
      </c>
      <c r="Q261" s="19">
        <f t="shared" si="957"/>
        <v>175</v>
      </c>
      <c r="R261" s="17">
        <f t="shared" si="945"/>
        <v>32.5</v>
      </c>
      <c r="S261" s="17">
        <f t="shared" si="968"/>
        <v>4.5</v>
      </c>
      <c r="T261" s="17">
        <f t="shared" si="943"/>
        <v>3.75</v>
      </c>
      <c r="U261" s="17">
        <f t="shared" si="969"/>
        <v>0</v>
      </c>
      <c r="V261" s="17">
        <f t="shared" si="944"/>
        <v>0</v>
      </c>
      <c r="W261" s="17">
        <f t="shared" si="970"/>
        <v>0</v>
      </c>
      <c r="X261" s="17">
        <f t="shared" si="961"/>
        <v>0</v>
      </c>
      <c r="Y261" s="113">
        <f t="shared" si="971"/>
        <v>0</v>
      </c>
      <c r="Z261" s="127">
        <f t="shared" si="946"/>
        <v>22.4</v>
      </c>
      <c r="AA261" s="127">
        <f t="shared" si="962"/>
        <v>1.22</v>
      </c>
      <c r="AB261" s="127">
        <f t="shared" si="948"/>
        <v>0.87</v>
      </c>
      <c r="AC261" s="127">
        <f t="shared" si="949"/>
        <v>0</v>
      </c>
      <c r="AD261" s="127">
        <f t="shared" si="973"/>
        <v>0</v>
      </c>
      <c r="AE261" s="127">
        <f t="shared" si="974"/>
        <v>0</v>
      </c>
      <c r="AF261" s="127">
        <v>0</v>
      </c>
      <c r="AG261" s="127">
        <v>0</v>
      </c>
      <c r="AH261" s="127">
        <f t="shared" si="950"/>
        <v>10.14</v>
      </c>
      <c r="AI261" s="127">
        <f t="shared" si="951"/>
        <v>4.2</v>
      </c>
      <c r="AJ261" s="127">
        <f>ROUND(F261*19%,2)+0.05</f>
        <v>2.9</v>
      </c>
      <c r="AK261" s="127">
        <f t="shared" si="925"/>
        <v>0</v>
      </c>
      <c r="AL261" s="127">
        <v>0</v>
      </c>
      <c r="AM261" s="127">
        <v>0</v>
      </c>
      <c r="AN261" s="127">
        <f t="shared" si="975"/>
        <v>0</v>
      </c>
      <c r="AO261" s="127">
        <f t="shared" si="888"/>
        <v>0</v>
      </c>
      <c r="AP261" s="127">
        <f t="shared" si="889"/>
        <v>32.5</v>
      </c>
      <c r="AQ261" s="127">
        <f t="shared" si="890"/>
        <v>8.4499999999999993</v>
      </c>
      <c r="AR261" s="127">
        <f t="shared" si="891"/>
        <v>3.75</v>
      </c>
      <c r="AS261" s="127">
        <f t="shared" si="892"/>
        <v>0</v>
      </c>
      <c r="AT261" s="127">
        <f t="shared" si="893"/>
        <v>0</v>
      </c>
      <c r="AU261" s="127">
        <f t="shared" si="894"/>
        <v>0</v>
      </c>
      <c r="AV261" s="127">
        <f t="shared" si="895"/>
        <v>0</v>
      </c>
      <c r="AW261" s="127">
        <f t="shared" si="896"/>
        <v>0</v>
      </c>
      <c r="AX261" s="127"/>
      <c r="AY261" s="127"/>
      <c r="AZ261" s="127">
        <f t="shared" si="870"/>
        <v>97.539999999999992</v>
      </c>
      <c r="BA261" s="127">
        <f t="shared" si="958"/>
        <v>18.369999999999997</v>
      </c>
      <c r="BB261" s="127">
        <f t="shared" si="872"/>
        <v>11.27</v>
      </c>
      <c r="BC261" s="127">
        <f t="shared" si="872"/>
        <v>0</v>
      </c>
      <c r="BD261" s="127">
        <f t="shared" si="871"/>
        <v>0</v>
      </c>
      <c r="BE261" s="127">
        <f t="shared" si="871"/>
        <v>0</v>
      </c>
      <c r="BF261" s="127">
        <f t="shared" si="871"/>
        <v>0</v>
      </c>
      <c r="BG261" s="127">
        <f t="shared" si="871"/>
        <v>0</v>
      </c>
      <c r="BH261" s="2"/>
      <c r="BI261" s="2"/>
      <c r="BJ261" s="2"/>
      <c r="BK261" s="2"/>
    </row>
    <row r="262" spans="1:64" s="6" customFormat="1" ht="20.100000000000001" customHeight="1" x14ac:dyDescent="0.3">
      <c r="A262" s="76"/>
      <c r="B262" s="77" t="s">
        <v>188</v>
      </c>
      <c r="C262" s="78">
        <f>+C259+C260+C261</f>
        <v>668</v>
      </c>
      <c r="D262" s="78">
        <f t="shared" ref="D262:BG262" si="976">+D259+D260+D261</f>
        <v>151</v>
      </c>
      <c r="E262" s="78" t="e">
        <f t="shared" si="976"/>
        <v>#REF!</v>
      </c>
      <c r="F262" s="78">
        <f t="shared" si="976"/>
        <v>15</v>
      </c>
      <c r="G262" s="78">
        <f t="shared" si="976"/>
        <v>0</v>
      </c>
      <c r="H262" s="78" t="e">
        <f t="shared" si="976"/>
        <v>#REF!</v>
      </c>
      <c r="I262" s="78">
        <f t="shared" si="976"/>
        <v>0</v>
      </c>
      <c r="J262" s="78">
        <f t="shared" si="976"/>
        <v>0</v>
      </c>
      <c r="K262" s="78">
        <f t="shared" si="976"/>
        <v>0</v>
      </c>
      <c r="L262" s="78">
        <f t="shared" si="976"/>
        <v>50</v>
      </c>
      <c r="M262" s="78">
        <f t="shared" si="976"/>
        <v>47</v>
      </c>
      <c r="N262" s="78">
        <f t="shared" si="976"/>
        <v>97</v>
      </c>
      <c r="O262" s="78">
        <f t="shared" si="976"/>
        <v>733</v>
      </c>
      <c r="P262" s="78">
        <f t="shared" si="976"/>
        <v>198</v>
      </c>
      <c r="Q262" s="78">
        <f t="shared" si="976"/>
        <v>931</v>
      </c>
      <c r="R262" s="78">
        <f t="shared" si="976"/>
        <v>167</v>
      </c>
      <c r="S262" s="78">
        <f t="shared" si="976"/>
        <v>22.65</v>
      </c>
      <c r="T262" s="78">
        <f t="shared" si="976"/>
        <v>3.75</v>
      </c>
      <c r="U262" s="78">
        <f t="shared" si="976"/>
        <v>0</v>
      </c>
      <c r="V262" s="78">
        <f t="shared" si="976"/>
        <v>0</v>
      </c>
      <c r="W262" s="78">
        <f t="shared" si="976"/>
        <v>0</v>
      </c>
      <c r="X262" s="78">
        <f t="shared" si="976"/>
        <v>25</v>
      </c>
      <c r="Y262" s="114">
        <f t="shared" si="976"/>
        <v>7.05</v>
      </c>
      <c r="Z262" s="78">
        <f t="shared" si="976"/>
        <v>115.1</v>
      </c>
      <c r="AA262" s="78">
        <f t="shared" si="976"/>
        <v>6.12</v>
      </c>
      <c r="AB262" s="78">
        <f t="shared" si="976"/>
        <v>0.87</v>
      </c>
      <c r="AC262" s="78">
        <f t="shared" si="976"/>
        <v>0</v>
      </c>
      <c r="AD262" s="78">
        <f t="shared" si="976"/>
        <v>0</v>
      </c>
      <c r="AE262" s="78">
        <f t="shared" si="976"/>
        <v>0</v>
      </c>
      <c r="AF262" s="78">
        <f t="shared" si="976"/>
        <v>0</v>
      </c>
      <c r="AG262" s="78">
        <f t="shared" si="976"/>
        <v>0</v>
      </c>
      <c r="AH262" s="78">
        <f t="shared" si="976"/>
        <v>52.1</v>
      </c>
      <c r="AI262" s="78">
        <f t="shared" si="976"/>
        <v>21.14</v>
      </c>
      <c r="AJ262" s="78">
        <f t="shared" si="976"/>
        <v>2.9</v>
      </c>
      <c r="AK262" s="78">
        <f t="shared" si="976"/>
        <v>0</v>
      </c>
      <c r="AL262" s="78">
        <f t="shared" si="976"/>
        <v>0</v>
      </c>
      <c r="AM262" s="78">
        <f t="shared" si="976"/>
        <v>0</v>
      </c>
      <c r="AN262" s="78">
        <f t="shared" si="976"/>
        <v>0</v>
      </c>
      <c r="AO262" s="78">
        <f t="shared" si="976"/>
        <v>8.41</v>
      </c>
      <c r="AP262" s="78">
        <f t="shared" si="976"/>
        <v>167</v>
      </c>
      <c r="AQ262" s="78">
        <f t="shared" si="976"/>
        <v>42.510000000000005</v>
      </c>
      <c r="AR262" s="78">
        <f t="shared" si="976"/>
        <v>3.75</v>
      </c>
      <c r="AS262" s="78">
        <f t="shared" si="976"/>
        <v>0</v>
      </c>
      <c r="AT262" s="78">
        <f t="shared" si="976"/>
        <v>0</v>
      </c>
      <c r="AU262" s="78">
        <f t="shared" si="976"/>
        <v>0</v>
      </c>
      <c r="AV262" s="78">
        <f t="shared" si="976"/>
        <v>12.5</v>
      </c>
      <c r="AW262" s="78">
        <f t="shared" si="976"/>
        <v>13.23</v>
      </c>
      <c r="AX262" s="78">
        <f t="shared" si="976"/>
        <v>0</v>
      </c>
      <c r="AY262" s="78">
        <f t="shared" si="976"/>
        <v>0</v>
      </c>
      <c r="AZ262" s="78">
        <f t="shared" si="976"/>
        <v>501.19999999999993</v>
      </c>
      <c r="BA262" s="78">
        <f t="shared" si="976"/>
        <v>92.419999999999987</v>
      </c>
      <c r="BB262" s="78">
        <f t="shared" si="976"/>
        <v>11.27</v>
      </c>
      <c r="BC262" s="78">
        <f t="shared" si="976"/>
        <v>0</v>
      </c>
      <c r="BD262" s="78">
        <f t="shared" si="976"/>
        <v>0</v>
      </c>
      <c r="BE262" s="78">
        <f t="shared" si="976"/>
        <v>0</v>
      </c>
      <c r="BF262" s="78">
        <f t="shared" si="976"/>
        <v>37.5</v>
      </c>
      <c r="BG262" s="78">
        <f t="shared" si="976"/>
        <v>28.69</v>
      </c>
      <c r="BH262" s="84"/>
      <c r="BI262" s="84"/>
      <c r="BJ262" s="84"/>
      <c r="BK262" s="84"/>
    </row>
    <row r="263" spans="1:64" ht="20.100000000000001" customHeight="1" x14ac:dyDescent="0.3">
      <c r="A263" s="15">
        <v>18</v>
      </c>
      <c r="B263" s="16" t="s">
        <v>239</v>
      </c>
      <c r="C263" s="17">
        <v>450</v>
      </c>
      <c r="D263" s="17">
        <v>80</v>
      </c>
      <c r="E263" s="19" t="e">
        <f>C263+D263+#REF!+#REF!</f>
        <v>#REF!</v>
      </c>
      <c r="F263" s="17">
        <v>11</v>
      </c>
      <c r="G263" s="28">
        <v>5</v>
      </c>
      <c r="H263" s="19" t="e">
        <f>F263+G263+#REF!</f>
        <v>#REF!</v>
      </c>
      <c r="I263" s="17">
        <v>0</v>
      </c>
      <c r="J263" s="17">
        <v>0</v>
      </c>
      <c r="K263" s="19">
        <f t="shared" si="940"/>
        <v>0</v>
      </c>
      <c r="L263" s="28">
        <v>58</v>
      </c>
      <c r="M263" s="28">
        <v>24</v>
      </c>
      <c r="N263" s="19">
        <f t="shared" si="972"/>
        <v>82</v>
      </c>
      <c r="O263" s="19">
        <f>C263+F263+I263+L263</f>
        <v>519</v>
      </c>
      <c r="P263" s="20">
        <f>D263+G263+J263+M263</f>
        <v>109</v>
      </c>
      <c r="Q263" s="19">
        <f t="shared" si="957"/>
        <v>628</v>
      </c>
      <c r="R263" s="17">
        <f t="shared" si="945"/>
        <v>112.5</v>
      </c>
      <c r="S263" s="17">
        <f t="shared" si="968"/>
        <v>12</v>
      </c>
      <c r="T263" s="17">
        <f t="shared" si="943"/>
        <v>2.75</v>
      </c>
      <c r="U263" s="17">
        <f t="shared" si="969"/>
        <v>0.75</v>
      </c>
      <c r="V263" s="17">
        <f t="shared" si="944"/>
        <v>0</v>
      </c>
      <c r="W263" s="17">
        <f t="shared" si="970"/>
        <v>0</v>
      </c>
      <c r="X263" s="17">
        <f t="shared" si="961"/>
        <v>14.5</v>
      </c>
      <c r="Y263" s="113">
        <f t="shared" si="971"/>
        <v>3.6</v>
      </c>
      <c r="Z263" s="127">
        <f t="shared" si="946"/>
        <v>77.540000000000006</v>
      </c>
      <c r="AA263" s="127">
        <f t="shared" si="962"/>
        <v>3.24</v>
      </c>
      <c r="AB263" s="127">
        <f t="shared" si="948"/>
        <v>0.64</v>
      </c>
      <c r="AC263" s="127">
        <f t="shared" si="949"/>
        <v>0.17</v>
      </c>
      <c r="AD263" s="127">
        <f t="shared" si="973"/>
        <v>0</v>
      </c>
      <c r="AE263" s="127">
        <f t="shared" si="974"/>
        <v>0</v>
      </c>
      <c r="AF263" s="127">
        <v>0</v>
      </c>
      <c r="AG263" s="127">
        <v>0</v>
      </c>
      <c r="AH263" s="127">
        <f t="shared" si="950"/>
        <v>35.1</v>
      </c>
      <c r="AI263" s="127">
        <f t="shared" si="951"/>
        <v>11.2</v>
      </c>
      <c r="AJ263" s="127">
        <f>ROUND(F263*19%,2)+0.05</f>
        <v>2.1399999999999997</v>
      </c>
      <c r="AK263" s="127">
        <f t="shared" si="925"/>
        <v>0.7</v>
      </c>
      <c r="AL263" s="127">
        <v>0</v>
      </c>
      <c r="AM263" s="127">
        <v>0</v>
      </c>
      <c r="AN263" s="127">
        <f t="shared" si="887"/>
        <v>14.5</v>
      </c>
      <c r="AO263" s="127">
        <f>ROUND(M263*18%,2)-0.08</f>
        <v>4.24</v>
      </c>
      <c r="AP263" s="127">
        <f t="shared" si="889"/>
        <v>112.5</v>
      </c>
      <c r="AQ263" s="127">
        <f>ROUND(D263*28.15%,2)-0.01</f>
        <v>22.509999999999998</v>
      </c>
      <c r="AR263" s="127">
        <f t="shared" si="891"/>
        <v>2.75</v>
      </c>
      <c r="AS263" s="127">
        <f t="shared" si="892"/>
        <v>1.41</v>
      </c>
      <c r="AT263" s="127">
        <f t="shared" si="893"/>
        <v>0</v>
      </c>
      <c r="AU263" s="127">
        <f t="shared" si="894"/>
        <v>0</v>
      </c>
      <c r="AV263" s="127">
        <f t="shared" si="895"/>
        <v>14.5</v>
      </c>
      <c r="AW263" s="127">
        <f>ROUND(M263*28.15%,2)-0.03</f>
        <v>6.7299999999999995</v>
      </c>
      <c r="AX263" s="127"/>
      <c r="AY263" s="127"/>
      <c r="AZ263" s="127">
        <f t="shared" si="870"/>
        <v>337.64</v>
      </c>
      <c r="BA263" s="127">
        <f t="shared" si="958"/>
        <v>48.949999999999996</v>
      </c>
      <c r="BB263" s="127">
        <f t="shared" si="872"/>
        <v>8.2799999999999994</v>
      </c>
      <c r="BC263" s="127">
        <f t="shared" si="872"/>
        <v>3.03</v>
      </c>
      <c r="BD263" s="127">
        <f t="shared" si="871"/>
        <v>0</v>
      </c>
      <c r="BE263" s="127">
        <f t="shared" si="871"/>
        <v>0</v>
      </c>
      <c r="BF263" s="127">
        <f t="shared" si="871"/>
        <v>43.5</v>
      </c>
      <c r="BG263" s="127">
        <f t="shared" si="871"/>
        <v>14.569999999999999</v>
      </c>
      <c r="BH263" s="2"/>
      <c r="BI263" s="2"/>
      <c r="BJ263" s="2"/>
      <c r="BK263" s="2"/>
    </row>
    <row r="264" spans="1:64" s="34" customFormat="1" ht="20.100000000000001" customHeight="1" x14ac:dyDescent="0.3">
      <c r="A264" s="31"/>
      <c r="B264" s="32" t="s">
        <v>191</v>
      </c>
      <c r="C264" s="33">
        <f>+C263+C262+C258+C255+C250</f>
        <v>4554</v>
      </c>
      <c r="D264" s="33">
        <f t="shared" ref="D264:BG264" si="977">+D263+D262+D258+D255+D250</f>
        <v>1106</v>
      </c>
      <c r="E264" s="33" t="e">
        <f t="shared" si="977"/>
        <v>#REF!</v>
      </c>
      <c r="F264" s="33">
        <f t="shared" si="977"/>
        <v>206</v>
      </c>
      <c r="G264" s="33">
        <f t="shared" si="977"/>
        <v>94</v>
      </c>
      <c r="H264" s="33" t="e">
        <f t="shared" si="977"/>
        <v>#REF!</v>
      </c>
      <c r="I264" s="33">
        <f t="shared" si="977"/>
        <v>0</v>
      </c>
      <c r="J264" s="33">
        <f t="shared" si="977"/>
        <v>0</v>
      </c>
      <c r="K264" s="33">
        <f t="shared" si="977"/>
        <v>0</v>
      </c>
      <c r="L264" s="33">
        <f t="shared" si="977"/>
        <v>350</v>
      </c>
      <c r="M264" s="33">
        <f t="shared" si="977"/>
        <v>190</v>
      </c>
      <c r="N264" s="33">
        <f t="shared" si="977"/>
        <v>540</v>
      </c>
      <c r="O264" s="33">
        <f t="shared" si="977"/>
        <v>5110</v>
      </c>
      <c r="P264" s="33">
        <f t="shared" si="977"/>
        <v>1390</v>
      </c>
      <c r="Q264" s="33">
        <f t="shared" si="977"/>
        <v>6500</v>
      </c>
      <c r="R264" s="33">
        <f t="shared" si="977"/>
        <v>1138.5</v>
      </c>
      <c r="S264" s="33">
        <f t="shared" si="977"/>
        <v>165.89999999999998</v>
      </c>
      <c r="T264" s="33">
        <f t="shared" si="977"/>
        <v>51.5</v>
      </c>
      <c r="U264" s="33">
        <f t="shared" si="977"/>
        <v>14.1</v>
      </c>
      <c r="V264" s="33">
        <f t="shared" si="977"/>
        <v>0</v>
      </c>
      <c r="W264" s="33">
        <f t="shared" si="977"/>
        <v>0</v>
      </c>
      <c r="X264" s="33">
        <f t="shared" si="977"/>
        <v>87.5</v>
      </c>
      <c r="Y264" s="117">
        <f t="shared" si="977"/>
        <v>28.5</v>
      </c>
      <c r="Z264" s="33">
        <f t="shared" si="977"/>
        <v>784.6400000000001</v>
      </c>
      <c r="AA264" s="33">
        <f t="shared" si="977"/>
        <v>44.75</v>
      </c>
      <c r="AB264" s="33">
        <f t="shared" si="977"/>
        <v>12</v>
      </c>
      <c r="AC264" s="33">
        <f t="shared" si="977"/>
        <v>3.25</v>
      </c>
      <c r="AD264" s="33">
        <f t="shared" si="977"/>
        <v>0</v>
      </c>
      <c r="AE264" s="33">
        <f t="shared" si="977"/>
        <v>0</v>
      </c>
      <c r="AF264" s="33">
        <f t="shared" si="977"/>
        <v>0</v>
      </c>
      <c r="AG264" s="33">
        <f t="shared" si="977"/>
        <v>0</v>
      </c>
      <c r="AH264" s="33">
        <f t="shared" si="977"/>
        <v>353.85999999999996</v>
      </c>
      <c r="AI264" s="33">
        <f t="shared" si="977"/>
        <v>152.67000000000002</v>
      </c>
      <c r="AJ264" s="33">
        <f t="shared" si="977"/>
        <v>39.5</v>
      </c>
      <c r="AK264" s="33">
        <f t="shared" si="977"/>
        <v>13.530000000000001</v>
      </c>
      <c r="AL264" s="33">
        <f t="shared" si="977"/>
        <v>0</v>
      </c>
      <c r="AM264" s="33">
        <f t="shared" si="977"/>
        <v>0</v>
      </c>
      <c r="AN264" s="33">
        <f t="shared" si="977"/>
        <v>87.5</v>
      </c>
      <c r="AO264" s="33">
        <f t="shared" si="977"/>
        <v>33.92</v>
      </c>
      <c r="AP264" s="33">
        <f t="shared" si="977"/>
        <v>1138.5</v>
      </c>
      <c r="AQ264" s="33">
        <f t="shared" si="977"/>
        <v>311.34000000000003</v>
      </c>
      <c r="AR264" s="33">
        <f t="shared" si="977"/>
        <v>51.5</v>
      </c>
      <c r="AS264" s="33">
        <f t="shared" si="977"/>
        <v>26.46</v>
      </c>
      <c r="AT264" s="33">
        <f t="shared" si="977"/>
        <v>0</v>
      </c>
      <c r="AU264" s="33">
        <f t="shared" si="977"/>
        <v>0</v>
      </c>
      <c r="AV264" s="33">
        <f t="shared" si="977"/>
        <v>87.5</v>
      </c>
      <c r="AW264" s="33">
        <f t="shared" si="977"/>
        <v>53.48</v>
      </c>
      <c r="AX264" s="33">
        <f t="shared" si="977"/>
        <v>0</v>
      </c>
      <c r="AY264" s="33">
        <f t="shared" si="977"/>
        <v>0</v>
      </c>
      <c r="AZ264" s="33">
        <f t="shared" si="977"/>
        <v>3415.5</v>
      </c>
      <c r="BA264" s="33">
        <f t="shared" si="977"/>
        <v>674.66</v>
      </c>
      <c r="BB264" s="33">
        <f t="shared" si="977"/>
        <v>154.5</v>
      </c>
      <c r="BC264" s="33">
        <f t="shared" si="977"/>
        <v>57.34</v>
      </c>
      <c r="BD264" s="33">
        <f t="shared" si="977"/>
        <v>0</v>
      </c>
      <c r="BE264" s="33">
        <f t="shared" si="977"/>
        <v>0</v>
      </c>
      <c r="BF264" s="33">
        <f t="shared" si="977"/>
        <v>262.5</v>
      </c>
      <c r="BG264" s="33">
        <f t="shared" si="977"/>
        <v>115.9</v>
      </c>
      <c r="BH264" s="2"/>
      <c r="BI264" s="2"/>
      <c r="BJ264" s="2"/>
      <c r="BK264" s="2"/>
    </row>
    <row r="265" spans="1:64" ht="20.100000000000001" customHeight="1" x14ac:dyDescent="0.3">
      <c r="A265" s="15">
        <v>1</v>
      </c>
      <c r="B265" s="16" t="s">
        <v>192</v>
      </c>
      <c r="C265" s="63">
        <v>2200</v>
      </c>
      <c r="D265" s="63">
        <v>200</v>
      </c>
      <c r="E265" s="19" t="e">
        <f>C265+D265+#REF!+#REF!</f>
        <v>#REF!</v>
      </c>
      <c r="F265" s="17">
        <v>0</v>
      </c>
      <c r="G265" s="28">
        <v>0</v>
      </c>
      <c r="H265" s="19" t="e">
        <f>F265+G265+#REF!</f>
        <v>#REF!</v>
      </c>
      <c r="I265" s="17">
        <v>0</v>
      </c>
      <c r="J265" s="17">
        <v>0</v>
      </c>
      <c r="K265" s="19">
        <f>I265+J265</f>
        <v>0</v>
      </c>
      <c r="L265" s="63">
        <v>110</v>
      </c>
      <c r="M265" s="63">
        <v>40</v>
      </c>
      <c r="N265" s="19">
        <f t="shared" si="972"/>
        <v>150</v>
      </c>
      <c r="O265" s="19">
        <f>C265+F265+I265+L265</f>
        <v>2310</v>
      </c>
      <c r="P265" s="20">
        <f>D265+G265+J265+M265</f>
        <v>240</v>
      </c>
      <c r="Q265" s="19">
        <f t="shared" si="957"/>
        <v>2550</v>
      </c>
      <c r="R265" s="17">
        <f t="shared" ref="R265" si="978">ROUND(C265*0.25,2)</f>
        <v>550</v>
      </c>
      <c r="S265" s="17">
        <f t="shared" si="968"/>
        <v>30</v>
      </c>
      <c r="T265" s="17">
        <f t="shared" ref="T265:T266" si="979">ROUND(F265*0.25,2)</f>
        <v>0</v>
      </c>
      <c r="U265" s="17">
        <f t="shared" si="969"/>
        <v>0</v>
      </c>
      <c r="V265" s="17">
        <f t="shared" ref="V265:V266" si="980">ROUND(I265*0.25,2)</f>
        <v>0</v>
      </c>
      <c r="W265" s="17">
        <f t="shared" si="970"/>
        <v>0</v>
      </c>
      <c r="X265" s="17">
        <f t="shared" ref="X265:X266" si="981">ROUND(L265*0.25,2)</f>
        <v>27.5</v>
      </c>
      <c r="Y265" s="113">
        <f t="shared" si="971"/>
        <v>6</v>
      </c>
      <c r="Z265" s="127">
        <f>ROUND(C265*17.09%,2)+0.1</f>
        <v>376.08000000000004</v>
      </c>
      <c r="AA265" s="127">
        <f>ROUND(D265*6.86%,2)</f>
        <v>13.72</v>
      </c>
      <c r="AB265" s="127">
        <f t="shared" ref="AB265:AB308" si="982">ROUND(F265*25%,2)</f>
        <v>0</v>
      </c>
      <c r="AC265" s="127">
        <f t="shared" ref="AC265:AC306" si="983">ROUND(G265*17.85%,2)</f>
        <v>0</v>
      </c>
      <c r="AD265" s="127">
        <f t="shared" si="973"/>
        <v>0</v>
      </c>
      <c r="AE265" s="127">
        <f t="shared" si="974"/>
        <v>0</v>
      </c>
      <c r="AF265" s="127">
        <v>0</v>
      </c>
      <c r="AG265" s="127">
        <v>0</v>
      </c>
      <c r="AH265" s="127">
        <f>ROUND(C265*8%,2)-1.6</f>
        <v>174.4</v>
      </c>
      <c r="AI265" s="127">
        <f>ROUND(D265*11%,2)</f>
        <v>22</v>
      </c>
      <c r="AJ265" s="127">
        <f t="shared" si="952"/>
        <v>0</v>
      </c>
      <c r="AK265" s="127">
        <f t="shared" si="925"/>
        <v>0</v>
      </c>
      <c r="AL265" s="127">
        <v>0</v>
      </c>
      <c r="AM265" s="127">
        <v>0</v>
      </c>
      <c r="AN265" s="127">
        <f t="shared" si="887"/>
        <v>27.5</v>
      </c>
      <c r="AO265" s="127">
        <f>ROUND(M265*18%,2)-0.1</f>
        <v>7.1000000000000005</v>
      </c>
      <c r="AP265" s="127">
        <f t="shared" si="889"/>
        <v>550</v>
      </c>
      <c r="AQ265" s="127">
        <f t="shared" si="890"/>
        <v>56.3</v>
      </c>
      <c r="AR265" s="127">
        <f t="shared" si="891"/>
        <v>0</v>
      </c>
      <c r="AS265" s="127">
        <f t="shared" si="892"/>
        <v>0</v>
      </c>
      <c r="AT265" s="127">
        <f t="shared" si="893"/>
        <v>0</v>
      </c>
      <c r="AU265" s="127">
        <f t="shared" si="894"/>
        <v>0</v>
      </c>
      <c r="AV265" s="127">
        <f t="shared" si="895"/>
        <v>27.5</v>
      </c>
      <c r="AW265" s="127">
        <f t="shared" si="896"/>
        <v>11.26</v>
      </c>
      <c r="AX265" s="127"/>
      <c r="AY265" s="127"/>
      <c r="AZ265" s="127">
        <f t="shared" ref="AZ265:AZ306" si="984">+AP265+AH265+Z265+R265+AX265</f>
        <v>1650.48</v>
      </c>
      <c r="BA265" s="127">
        <f t="shared" si="958"/>
        <v>122.02</v>
      </c>
      <c r="BB265" s="127">
        <f t="shared" ref="BB265:BF306" si="985">+AR265+AJ265+AB265+T265</f>
        <v>0</v>
      </c>
      <c r="BC265" s="127">
        <f t="shared" si="985"/>
        <v>0</v>
      </c>
      <c r="BD265" s="127">
        <f t="shared" si="985"/>
        <v>0</v>
      </c>
      <c r="BE265" s="127">
        <f t="shared" si="985"/>
        <v>0</v>
      </c>
      <c r="BF265" s="127">
        <f t="shared" si="985"/>
        <v>82.5</v>
      </c>
      <c r="BG265" s="127">
        <f t="shared" ref="BG265:BG306" si="986">+AW265+AO265+AG265+Y265</f>
        <v>24.36</v>
      </c>
      <c r="BH265" s="2"/>
      <c r="BI265" s="2"/>
      <c r="BJ265" s="2"/>
      <c r="BK265" s="2"/>
      <c r="BL265" s="1">
        <f>42.44/1100*100</f>
        <v>3.8581818181818184</v>
      </c>
    </row>
    <row r="266" spans="1:64" ht="20.100000000000001" customHeight="1" x14ac:dyDescent="0.3">
      <c r="A266" s="15">
        <v>2</v>
      </c>
      <c r="B266" s="16" t="s">
        <v>193</v>
      </c>
      <c r="C266" s="63">
        <v>500</v>
      </c>
      <c r="D266" s="63">
        <v>150</v>
      </c>
      <c r="E266" s="19" t="e">
        <f>C266+D266+#REF!+#REF!</f>
        <v>#REF!</v>
      </c>
      <c r="F266" s="17">
        <v>0</v>
      </c>
      <c r="G266" s="28">
        <v>0</v>
      </c>
      <c r="H266" s="19" t="e">
        <f>F266+G266+#REF!</f>
        <v>#REF!</v>
      </c>
      <c r="I266" s="17">
        <v>0</v>
      </c>
      <c r="J266" s="17">
        <v>0</v>
      </c>
      <c r="K266" s="19">
        <f>I266+J266</f>
        <v>0</v>
      </c>
      <c r="L266" s="63">
        <v>75</v>
      </c>
      <c r="M266" s="63">
        <v>25</v>
      </c>
      <c r="N266" s="19">
        <f t="shared" si="972"/>
        <v>100</v>
      </c>
      <c r="O266" s="19">
        <f>C266+F266+I266+L266</f>
        <v>575</v>
      </c>
      <c r="P266" s="20">
        <f>D266+G266+J266+M266</f>
        <v>175</v>
      </c>
      <c r="Q266" s="19">
        <f t="shared" si="957"/>
        <v>750</v>
      </c>
      <c r="R266" s="17">
        <f t="shared" ref="R266" si="987">ROUND(C266*0.25,2)</f>
        <v>125</v>
      </c>
      <c r="S266" s="17">
        <f t="shared" si="968"/>
        <v>22.5</v>
      </c>
      <c r="T266" s="17">
        <f t="shared" si="979"/>
        <v>0</v>
      </c>
      <c r="U266" s="17">
        <f t="shared" si="969"/>
        <v>0</v>
      </c>
      <c r="V266" s="17">
        <f t="shared" si="980"/>
        <v>0</v>
      </c>
      <c r="W266" s="17">
        <f t="shared" si="970"/>
        <v>0</v>
      </c>
      <c r="X266" s="17">
        <f t="shared" si="981"/>
        <v>18.75</v>
      </c>
      <c r="Y266" s="113">
        <f t="shared" si="971"/>
        <v>3.75</v>
      </c>
      <c r="Z266" s="127">
        <f>ROUND(C266*17.09%,2)+0.07</f>
        <v>85.52</v>
      </c>
      <c r="AA266" s="127">
        <f>ROUND(D266*6.86%,2)-0.01</f>
        <v>10.28</v>
      </c>
      <c r="AB266" s="127">
        <f t="shared" si="982"/>
        <v>0</v>
      </c>
      <c r="AC266" s="127">
        <f t="shared" si="983"/>
        <v>0</v>
      </c>
      <c r="AD266" s="127">
        <f t="shared" si="973"/>
        <v>0</v>
      </c>
      <c r="AE266" s="127">
        <f t="shared" si="974"/>
        <v>0</v>
      </c>
      <c r="AF266" s="127">
        <v>0</v>
      </c>
      <c r="AG266" s="127">
        <v>0</v>
      </c>
      <c r="AH266" s="127">
        <f>ROUND(C266*8%,2)-1</f>
        <v>39</v>
      </c>
      <c r="AI266" s="127">
        <f>ROUND(D266*11%,2)-0.02</f>
        <v>16.48</v>
      </c>
      <c r="AJ266" s="127">
        <f t="shared" si="952"/>
        <v>0</v>
      </c>
      <c r="AK266" s="127">
        <f t="shared" si="925"/>
        <v>0</v>
      </c>
      <c r="AL266" s="127">
        <v>0</v>
      </c>
      <c r="AM266" s="127">
        <v>0</v>
      </c>
      <c r="AN266" s="127">
        <f t="shared" si="887"/>
        <v>18.75</v>
      </c>
      <c r="AO266" s="127">
        <f t="shared" si="888"/>
        <v>4.5</v>
      </c>
      <c r="AP266" s="127">
        <f t="shared" si="889"/>
        <v>125</v>
      </c>
      <c r="AQ266" s="127">
        <f>ROUND(D266*28.15%,2)-0.01</f>
        <v>42.22</v>
      </c>
      <c r="AR266" s="127">
        <f t="shared" si="891"/>
        <v>0</v>
      </c>
      <c r="AS266" s="127">
        <f t="shared" si="892"/>
        <v>0</v>
      </c>
      <c r="AT266" s="127">
        <f t="shared" si="893"/>
        <v>0</v>
      </c>
      <c r="AU266" s="127">
        <f t="shared" si="894"/>
        <v>0</v>
      </c>
      <c r="AV266" s="127">
        <f t="shared" si="895"/>
        <v>18.75</v>
      </c>
      <c r="AW266" s="127">
        <f t="shared" si="896"/>
        <v>7.04</v>
      </c>
      <c r="AX266" s="127"/>
      <c r="AY266" s="127"/>
      <c r="AZ266" s="127">
        <f t="shared" si="984"/>
        <v>374.52</v>
      </c>
      <c r="BA266" s="127">
        <f t="shared" si="958"/>
        <v>91.48</v>
      </c>
      <c r="BB266" s="127">
        <f t="shared" si="985"/>
        <v>0</v>
      </c>
      <c r="BC266" s="127">
        <f t="shared" si="985"/>
        <v>0</v>
      </c>
      <c r="BD266" s="127">
        <f t="shared" si="985"/>
        <v>0</v>
      </c>
      <c r="BE266" s="127">
        <f t="shared" si="985"/>
        <v>0</v>
      </c>
      <c r="BF266" s="127">
        <f t="shared" si="985"/>
        <v>56.25</v>
      </c>
      <c r="BG266" s="127">
        <f t="shared" si="986"/>
        <v>15.29</v>
      </c>
      <c r="BH266" s="2"/>
      <c r="BI266" s="2"/>
      <c r="BJ266" s="2"/>
      <c r="BK266" s="2"/>
    </row>
    <row r="267" spans="1:64" s="34" customFormat="1" ht="20.100000000000001" customHeight="1" x14ac:dyDescent="0.3">
      <c r="A267" s="31"/>
      <c r="B267" s="32" t="s">
        <v>194</v>
      </c>
      <c r="C267" s="33">
        <f t="shared" ref="C267:BG267" si="988">SUM(C265:C266)</f>
        <v>2700</v>
      </c>
      <c r="D267" s="33">
        <f t="shared" si="988"/>
        <v>350</v>
      </c>
      <c r="E267" s="33" t="e">
        <f t="shared" si="988"/>
        <v>#REF!</v>
      </c>
      <c r="F267" s="33">
        <f t="shared" si="988"/>
        <v>0</v>
      </c>
      <c r="G267" s="33">
        <f t="shared" si="988"/>
        <v>0</v>
      </c>
      <c r="H267" s="33" t="e">
        <f t="shared" si="988"/>
        <v>#REF!</v>
      </c>
      <c r="I267" s="33">
        <f t="shared" si="988"/>
        <v>0</v>
      </c>
      <c r="J267" s="33">
        <f t="shared" si="988"/>
        <v>0</v>
      </c>
      <c r="K267" s="33">
        <f t="shared" si="988"/>
        <v>0</v>
      </c>
      <c r="L267" s="33">
        <f t="shared" si="988"/>
        <v>185</v>
      </c>
      <c r="M267" s="33">
        <f t="shared" si="988"/>
        <v>65</v>
      </c>
      <c r="N267" s="33">
        <f t="shared" si="988"/>
        <v>250</v>
      </c>
      <c r="O267" s="33">
        <f t="shared" si="988"/>
        <v>2885</v>
      </c>
      <c r="P267" s="33">
        <f t="shared" si="988"/>
        <v>415</v>
      </c>
      <c r="Q267" s="33">
        <f t="shared" si="988"/>
        <v>3300</v>
      </c>
      <c r="R267" s="33">
        <f t="shared" si="988"/>
        <v>675</v>
      </c>
      <c r="S267" s="33">
        <f t="shared" si="988"/>
        <v>52.5</v>
      </c>
      <c r="T267" s="33">
        <f t="shared" si="988"/>
        <v>0</v>
      </c>
      <c r="U267" s="33">
        <f t="shared" si="988"/>
        <v>0</v>
      </c>
      <c r="V267" s="33">
        <f t="shared" si="988"/>
        <v>0</v>
      </c>
      <c r="W267" s="33">
        <f t="shared" si="988"/>
        <v>0</v>
      </c>
      <c r="X267" s="33">
        <f t="shared" si="988"/>
        <v>46.25</v>
      </c>
      <c r="Y267" s="117">
        <f t="shared" si="988"/>
        <v>9.75</v>
      </c>
      <c r="Z267" s="33">
        <f t="shared" si="988"/>
        <v>461.6</v>
      </c>
      <c r="AA267" s="33">
        <f t="shared" si="988"/>
        <v>24</v>
      </c>
      <c r="AB267" s="33">
        <f t="shared" si="988"/>
        <v>0</v>
      </c>
      <c r="AC267" s="33">
        <f t="shared" si="988"/>
        <v>0</v>
      </c>
      <c r="AD267" s="33">
        <f t="shared" si="988"/>
        <v>0</v>
      </c>
      <c r="AE267" s="33">
        <f t="shared" si="988"/>
        <v>0</v>
      </c>
      <c r="AF267" s="33">
        <f t="shared" si="988"/>
        <v>0</v>
      </c>
      <c r="AG267" s="33">
        <f t="shared" si="988"/>
        <v>0</v>
      </c>
      <c r="AH267" s="33">
        <f t="shared" si="988"/>
        <v>213.4</v>
      </c>
      <c r="AI267" s="33">
        <f t="shared" si="988"/>
        <v>38.480000000000004</v>
      </c>
      <c r="AJ267" s="33">
        <f t="shared" si="988"/>
        <v>0</v>
      </c>
      <c r="AK267" s="33">
        <f t="shared" si="988"/>
        <v>0</v>
      </c>
      <c r="AL267" s="33">
        <f t="shared" si="988"/>
        <v>0</v>
      </c>
      <c r="AM267" s="33">
        <f t="shared" si="988"/>
        <v>0</v>
      </c>
      <c r="AN267" s="33">
        <f t="shared" si="988"/>
        <v>46.25</v>
      </c>
      <c r="AO267" s="33">
        <f t="shared" si="988"/>
        <v>11.600000000000001</v>
      </c>
      <c r="AP267" s="33">
        <f t="shared" si="988"/>
        <v>675</v>
      </c>
      <c r="AQ267" s="33">
        <f t="shared" si="988"/>
        <v>98.52</v>
      </c>
      <c r="AR267" s="33">
        <f t="shared" si="988"/>
        <v>0</v>
      </c>
      <c r="AS267" s="33">
        <f t="shared" si="988"/>
        <v>0</v>
      </c>
      <c r="AT267" s="33">
        <f t="shared" si="988"/>
        <v>0</v>
      </c>
      <c r="AU267" s="33">
        <f t="shared" si="988"/>
        <v>0</v>
      </c>
      <c r="AV267" s="33">
        <f t="shared" si="988"/>
        <v>46.25</v>
      </c>
      <c r="AW267" s="33">
        <f t="shared" si="988"/>
        <v>18.3</v>
      </c>
      <c r="AX267" s="33">
        <f t="shared" si="988"/>
        <v>0</v>
      </c>
      <c r="AY267" s="33">
        <f t="shared" si="988"/>
        <v>0</v>
      </c>
      <c r="AZ267" s="33">
        <f t="shared" si="988"/>
        <v>2025</v>
      </c>
      <c r="BA267" s="33">
        <f t="shared" si="988"/>
        <v>213.5</v>
      </c>
      <c r="BB267" s="33">
        <f t="shared" si="988"/>
        <v>0</v>
      </c>
      <c r="BC267" s="33">
        <f t="shared" si="988"/>
        <v>0</v>
      </c>
      <c r="BD267" s="33">
        <f t="shared" si="988"/>
        <v>0</v>
      </c>
      <c r="BE267" s="33">
        <f t="shared" si="988"/>
        <v>0</v>
      </c>
      <c r="BF267" s="33">
        <f t="shared" si="988"/>
        <v>138.75</v>
      </c>
      <c r="BG267" s="33">
        <f t="shared" si="988"/>
        <v>39.65</v>
      </c>
      <c r="BH267" s="2"/>
      <c r="BI267" s="2"/>
      <c r="BJ267" s="2"/>
      <c r="BK267" s="2"/>
    </row>
    <row r="268" spans="1:64" ht="20.100000000000001" customHeight="1" x14ac:dyDescent="0.3">
      <c r="A268" s="15">
        <v>1</v>
      </c>
      <c r="B268" s="16" t="s">
        <v>195</v>
      </c>
      <c r="C268" s="63">
        <v>2500</v>
      </c>
      <c r="D268" s="63">
        <v>200</v>
      </c>
      <c r="E268" s="19" t="e">
        <f>C268+D268+#REF!+#REF!</f>
        <v>#REF!</v>
      </c>
      <c r="F268" s="17">
        <v>0</v>
      </c>
      <c r="G268" s="28">
        <v>0</v>
      </c>
      <c r="H268" s="19" t="e">
        <f>F268+G268+#REF!</f>
        <v>#REF!</v>
      </c>
      <c r="I268" s="17">
        <v>0</v>
      </c>
      <c r="J268" s="17">
        <v>0</v>
      </c>
      <c r="K268" s="19">
        <f>I268+J268</f>
        <v>0</v>
      </c>
      <c r="L268" s="63">
        <v>75</v>
      </c>
      <c r="M268" s="63">
        <v>150</v>
      </c>
      <c r="N268" s="19">
        <f t="shared" si="972"/>
        <v>225</v>
      </c>
      <c r="O268" s="19">
        <f t="shared" ref="O268:P270" si="989">C268+F268+I268+L268</f>
        <v>2575</v>
      </c>
      <c r="P268" s="20">
        <f t="shared" si="989"/>
        <v>350</v>
      </c>
      <c r="Q268" s="19">
        <f t="shared" si="957"/>
        <v>2925</v>
      </c>
      <c r="R268" s="17">
        <f t="shared" ref="R268:R269" si="990">ROUND(C268*0.25,2)</f>
        <v>625</v>
      </c>
      <c r="S268" s="17">
        <f t="shared" si="968"/>
        <v>30</v>
      </c>
      <c r="T268" s="17">
        <f t="shared" ref="T268:T272" si="991">ROUND(F268*0.25,2)</f>
        <v>0</v>
      </c>
      <c r="U268" s="17">
        <f t="shared" si="969"/>
        <v>0</v>
      </c>
      <c r="V268" s="17">
        <f t="shared" ref="V268:V272" si="992">ROUND(I268*0.25,2)</f>
        <v>0</v>
      </c>
      <c r="W268" s="17">
        <f t="shared" si="970"/>
        <v>0</v>
      </c>
      <c r="X268" s="17">
        <f t="shared" ref="X268:X272" si="993">ROUND(L268*0.25,2)</f>
        <v>18.75</v>
      </c>
      <c r="Y268" s="113">
        <f t="shared" si="971"/>
        <v>22.5</v>
      </c>
      <c r="Z268" s="127">
        <f>ROUND(C268*16.78%,2)+0.04</f>
        <v>419.54</v>
      </c>
      <c r="AA268" s="127">
        <f>ROUND(D268*5.32%,2)-0.04</f>
        <v>10.600000000000001</v>
      </c>
      <c r="AB268" s="127">
        <f>ROUND(F268*7.67%,2)</f>
        <v>0</v>
      </c>
      <c r="AC268" s="127">
        <f>ROUND(G268*3.85%,2)</f>
        <v>0</v>
      </c>
      <c r="AD268" s="127">
        <f t="shared" si="973"/>
        <v>0</v>
      </c>
      <c r="AE268" s="127">
        <f t="shared" si="974"/>
        <v>0</v>
      </c>
      <c r="AF268" s="127">
        <v>0</v>
      </c>
      <c r="AG268" s="127">
        <v>0</v>
      </c>
      <c r="AH268" s="127">
        <f>ROUND(C268*8.22%,2)-0.4</f>
        <v>205.1</v>
      </c>
      <c r="AI268" s="127">
        <f t="shared" ref="AI268:AI270" si="994">ROUND(D268*12.53%,2)</f>
        <v>25.06</v>
      </c>
      <c r="AJ268" s="127">
        <f>ROUND(F268*17%,2)</f>
        <v>0</v>
      </c>
      <c r="AK268" s="127">
        <f t="shared" si="925"/>
        <v>0</v>
      </c>
      <c r="AL268" s="127">
        <f>ROUND(I268*9%,2)</f>
        <v>0</v>
      </c>
      <c r="AM268" s="127">
        <f>ROUND(J268*14%,2)</f>
        <v>0</v>
      </c>
      <c r="AN268" s="127">
        <f t="shared" si="887"/>
        <v>18.75</v>
      </c>
      <c r="AO268" s="127">
        <f t="shared" si="888"/>
        <v>27</v>
      </c>
      <c r="AP268" s="127">
        <f t="shared" si="889"/>
        <v>625</v>
      </c>
      <c r="AQ268" s="127">
        <f t="shared" si="890"/>
        <v>56.3</v>
      </c>
      <c r="AR268" s="127">
        <f t="shared" si="891"/>
        <v>0</v>
      </c>
      <c r="AS268" s="127">
        <f t="shared" si="892"/>
        <v>0</v>
      </c>
      <c r="AT268" s="127">
        <f t="shared" si="893"/>
        <v>0</v>
      </c>
      <c r="AU268" s="127">
        <f t="shared" si="894"/>
        <v>0</v>
      </c>
      <c r="AV268" s="127">
        <f t="shared" si="895"/>
        <v>18.75</v>
      </c>
      <c r="AW268" s="127">
        <f t="shared" si="896"/>
        <v>42.23</v>
      </c>
      <c r="AX268" s="127"/>
      <c r="AY268" s="127"/>
      <c r="AZ268" s="127">
        <f t="shared" si="984"/>
        <v>1874.64</v>
      </c>
      <c r="BA268" s="127">
        <f t="shared" si="958"/>
        <v>121.96000000000001</v>
      </c>
      <c r="BB268" s="127">
        <f t="shared" si="985"/>
        <v>0</v>
      </c>
      <c r="BC268" s="127">
        <f t="shared" si="985"/>
        <v>0</v>
      </c>
      <c r="BD268" s="127">
        <f t="shared" si="985"/>
        <v>0</v>
      </c>
      <c r="BE268" s="127">
        <f t="shared" si="985"/>
        <v>0</v>
      </c>
      <c r="BF268" s="127">
        <f t="shared" si="985"/>
        <v>56.25</v>
      </c>
      <c r="BG268" s="127">
        <f t="shared" si="986"/>
        <v>91.72999999999999</v>
      </c>
      <c r="BH268" s="2"/>
      <c r="BI268" s="2"/>
      <c r="BJ268" s="2"/>
      <c r="BK268" s="2"/>
    </row>
    <row r="269" spans="1:64" ht="20.100000000000001" customHeight="1" x14ac:dyDescent="0.3">
      <c r="A269" s="15">
        <v>2</v>
      </c>
      <c r="B269" s="16" t="s">
        <v>196</v>
      </c>
      <c r="C269" s="63">
        <v>350</v>
      </c>
      <c r="D269" s="63">
        <v>100</v>
      </c>
      <c r="E269" s="19" t="e">
        <f>C269+D269+#REF!+#REF!</f>
        <v>#REF!</v>
      </c>
      <c r="F269" s="17">
        <v>0</v>
      </c>
      <c r="G269" s="28">
        <v>0</v>
      </c>
      <c r="H269" s="19" t="e">
        <f>F269+G269+#REF!</f>
        <v>#REF!</v>
      </c>
      <c r="I269" s="17">
        <v>0</v>
      </c>
      <c r="J269" s="17">
        <v>0</v>
      </c>
      <c r="K269" s="19">
        <f>I269+J269</f>
        <v>0</v>
      </c>
      <c r="L269" s="63">
        <v>50</v>
      </c>
      <c r="M269" s="63">
        <v>75</v>
      </c>
      <c r="N269" s="19">
        <f t="shared" si="972"/>
        <v>125</v>
      </c>
      <c r="O269" s="19">
        <f t="shared" si="989"/>
        <v>400</v>
      </c>
      <c r="P269" s="20">
        <f t="shared" si="989"/>
        <v>175</v>
      </c>
      <c r="Q269" s="19">
        <f t="shared" si="957"/>
        <v>575</v>
      </c>
      <c r="R269" s="17">
        <f t="shared" si="990"/>
        <v>87.5</v>
      </c>
      <c r="S269" s="17">
        <f t="shared" si="968"/>
        <v>15</v>
      </c>
      <c r="T269" s="17">
        <f t="shared" si="991"/>
        <v>0</v>
      </c>
      <c r="U269" s="17">
        <f t="shared" si="969"/>
        <v>0</v>
      </c>
      <c r="V269" s="17">
        <f t="shared" si="992"/>
        <v>0</v>
      </c>
      <c r="W269" s="17">
        <f t="shared" si="970"/>
        <v>0</v>
      </c>
      <c r="X269" s="17">
        <f t="shared" si="993"/>
        <v>12.5</v>
      </c>
      <c r="Y269" s="113">
        <f t="shared" si="971"/>
        <v>11.25</v>
      </c>
      <c r="Z269" s="127">
        <f t="shared" ref="Z269:Z270" si="995">ROUND(C269*16.78%,2)</f>
        <v>58.73</v>
      </c>
      <c r="AA269" s="127">
        <f t="shared" ref="AA269:AA270" si="996">ROUND(D269*5.32%,2)</f>
        <v>5.32</v>
      </c>
      <c r="AB269" s="127">
        <f t="shared" ref="AB269:AB270" si="997">ROUND(F269*7.67%,2)</f>
        <v>0</v>
      </c>
      <c r="AC269" s="127">
        <f t="shared" ref="AC269:AC270" si="998">ROUND(G269*3.85%,2)</f>
        <v>0</v>
      </c>
      <c r="AD269" s="127">
        <f t="shared" si="973"/>
        <v>0</v>
      </c>
      <c r="AE269" s="127">
        <f t="shared" si="974"/>
        <v>0</v>
      </c>
      <c r="AF269" s="127">
        <v>0</v>
      </c>
      <c r="AG269" s="127">
        <v>0</v>
      </c>
      <c r="AH269" s="127">
        <f>ROUND(C269*8.22%,2)-0.04</f>
        <v>28.73</v>
      </c>
      <c r="AI269" s="127">
        <f t="shared" si="994"/>
        <v>12.53</v>
      </c>
      <c r="AJ269" s="127">
        <f t="shared" ref="AJ269:AJ270" si="999">ROUND(F269*17%,2)</f>
        <v>0</v>
      </c>
      <c r="AK269" s="127">
        <f t="shared" si="925"/>
        <v>0</v>
      </c>
      <c r="AL269" s="127">
        <f t="shared" ref="AL269:AL272" si="1000">ROUND(I269*9%,2)</f>
        <v>0</v>
      </c>
      <c r="AM269" s="127">
        <f t="shared" ref="AM269:AM270" si="1001">ROUND(J269*14%,2)</f>
        <v>0</v>
      </c>
      <c r="AN269" s="127">
        <f t="shared" si="887"/>
        <v>12.5</v>
      </c>
      <c r="AO269" s="127">
        <f>ROUND(M269*18%,2)-0.44</f>
        <v>13.06</v>
      </c>
      <c r="AP269" s="127">
        <f t="shared" si="889"/>
        <v>87.5</v>
      </c>
      <c r="AQ269" s="127">
        <f t="shared" si="890"/>
        <v>28.15</v>
      </c>
      <c r="AR269" s="127">
        <f t="shared" si="891"/>
        <v>0</v>
      </c>
      <c r="AS269" s="127">
        <f t="shared" si="892"/>
        <v>0</v>
      </c>
      <c r="AT269" s="127">
        <f t="shared" si="893"/>
        <v>0</v>
      </c>
      <c r="AU269" s="127">
        <f t="shared" si="894"/>
        <v>0</v>
      </c>
      <c r="AV269" s="127">
        <f t="shared" si="895"/>
        <v>12.5</v>
      </c>
      <c r="AW269" s="127">
        <f t="shared" si="896"/>
        <v>21.11</v>
      </c>
      <c r="AX269" s="127"/>
      <c r="AY269" s="127"/>
      <c r="AZ269" s="127">
        <f t="shared" si="984"/>
        <v>262.46000000000004</v>
      </c>
      <c r="BA269" s="127">
        <f t="shared" si="958"/>
        <v>61</v>
      </c>
      <c r="BB269" s="127">
        <f t="shared" si="985"/>
        <v>0</v>
      </c>
      <c r="BC269" s="127">
        <f t="shared" si="985"/>
        <v>0</v>
      </c>
      <c r="BD269" s="127">
        <f t="shared" si="985"/>
        <v>0</v>
      </c>
      <c r="BE269" s="127">
        <f t="shared" si="985"/>
        <v>0</v>
      </c>
      <c r="BF269" s="127">
        <f t="shared" si="985"/>
        <v>37.5</v>
      </c>
      <c r="BG269" s="127">
        <f t="shared" si="986"/>
        <v>45.42</v>
      </c>
      <c r="BH269" s="2"/>
      <c r="BI269" s="2"/>
      <c r="BJ269" s="2"/>
      <c r="BK269" s="2"/>
    </row>
    <row r="270" spans="1:64" ht="20.100000000000001" customHeight="1" x14ac:dyDescent="0.3">
      <c r="A270" s="15">
        <v>3</v>
      </c>
      <c r="B270" s="16" t="s">
        <v>197</v>
      </c>
      <c r="C270" s="63">
        <v>350</v>
      </c>
      <c r="D270" s="63">
        <v>0</v>
      </c>
      <c r="E270" s="19" t="e">
        <f>C270+D270+#REF!+#REF!</f>
        <v>#REF!</v>
      </c>
      <c r="F270" s="17">
        <v>0</v>
      </c>
      <c r="G270" s="28">
        <v>0</v>
      </c>
      <c r="H270" s="19" t="e">
        <f>F270+G270+#REF!</f>
        <v>#REF!</v>
      </c>
      <c r="I270" s="17">
        <v>0</v>
      </c>
      <c r="J270" s="17">
        <v>0</v>
      </c>
      <c r="K270" s="19">
        <f>I270+J270</f>
        <v>0</v>
      </c>
      <c r="L270" s="63">
        <v>0</v>
      </c>
      <c r="M270" s="63">
        <v>0</v>
      </c>
      <c r="N270" s="19">
        <f t="shared" si="972"/>
        <v>0</v>
      </c>
      <c r="O270" s="19">
        <f t="shared" si="989"/>
        <v>350</v>
      </c>
      <c r="P270" s="20">
        <f t="shared" si="989"/>
        <v>0</v>
      </c>
      <c r="Q270" s="19">
        <f t="shared" si="957"/>
        <v>350</v>
      </c>
      <c r="R270" s="17">
        <f t="shared" ref="R270:R272" si="1002">ROUND(C270*0.25,2)</f>
        <v>87.5</v>
      </c>
      <c r="S270" s="17">
        <f t="shared" si="968"/>
        <v>0</v>
      </c>
      <c r="T270" s="17">
        <f t="shared" si="991"/>
        <v>0</v>
      </c>
      <c r="U270" s="17">
        <f t="shared" si="969"/>
        <v>0</v>
      </c>
      <c r="V270" s="17">
        <f t="shared" si="992"/>
        <v>0</v>
      </c>
      <c r="W270" s="17">
        <f t="shared" si="970"/>
        <v>0</v>
      </c>
      <c r="X270" s="17">
        <f t="shared" si="993"/>
        <v>0</v>
      </c>
      <c r="Y270" s="113">
        <f t="shared" si="971"/>
        <v>0</v>
      </c>
      <c r="Z270" s="127">
        <f t="shared" si="995"/>
        <v>58.73</v>
      </c>
      <c r="AA270" s="127">
        <f t="shared" si="996"/>
        <v>0</v>
      </c>
      <c r="AB270" s="127">
        <f t="shared" si="997"/>
        <v>0</v>
      </c>
      <c r="AC270" s="127">
        <f t="shared" si="998"/>
        <v>0</v>
      </c>
      <c r="AD270" s="127">
        <f t="shared" si="973"/>
        <v>0</v>
      </c>
      <c r="AE270" s="127">
        <f t="shared" si="974"/>
        <v>0</v>
      </c>
      <c r="AF270" s="127">
        <v>0</v>
      </c>
      <c r="AG270" s="127">
        <v>0</v>
      </c>
      <c r="AH270" s="127">
        <f>ROUND(C270*8.22%,2)-0.04</f>
        <v>28.73</v>
      </c>
      <c r="AI270" s="127">
        <f t="shared" si="994"/>
        <v>0</v>
      </c>
      <c r="AJ270" s="127">
        <f t="shared" si="999"/>
        <v>0</v>
      </c>
      <c r="AK270" s="127">
        <f t="shared" si="925"/>
        <v>0</v>
      </c>
      <c r="AL270" s="127">
        <f t="shared" si="1000"/>
        <v>0</v>
      </c>
      <c r="AM270" s="127">
        <f t="shared" si="1001"/>
        <v>0</v>
      </c>
      <c r="AN270" s="127">
        <f t="shared" si="887"/>
        <v>0</v>
      </c>
      <c r="AO270" s="127">
        <f t="shared" si="888"/>
        <v>0</v>
      </c>
      <c r="AP270" s="127">
        <f t="shared" si="889"/>
        <v>87.5</v>
      </c>
      <c r="AQ270" s="127">
        <f t="shared" si="890"/>
        <v>0</v>
      </c>
      <c r="AR270" s="127">
        <f t="shared" si="891"/>
        <v>0</v>
      </c>
      <c r="AS270" s="127">
        <f t="shared" si="892"/>
        <v>0</v>
      </c>
      <c r="AT270" s="127">
        <f t="shared" si="893"/>
        <v>0</v>
      </c>
      <c r="AU270" s="127">
        <f t="shared" si="894"/>
        <v>0</v>
      </c>
      <c r="AV270" s="127">
        <f t="shared" si="895"/>
        <v>0</v>
      </c>
      <c r="AW270" s="127">
        <f t="shared" si="896"/>
        <v>0</v>
      </c>
      <c r="AX270" s="127"/>
      <c r="AY270" s="127"/>
      <c r="AZ270" s="127">
        <f t="shared" si="984"/>
        <v>262.46000000000004</v>
      </c>
      <c r="BA270" s="127">
        <f t="shared" si="958"/>
        <v>0</v>
      </c>
      <c r="BB270" s="127">
        <f t="shared" si="985"/>
        <v>0</v>
      </c>
      <c r="BC270" s="127">
        <f t="shared" si="985"/>
        <v>0</v>
      </c>
      <c r="BD270" s="127">
        <f t="shared" si="985"/>
        <v>0</v>
      </c>
      <c r="BE270" s="127">
        <f t="shared" si="985"/>
        <v>0</v>
      </c>
      <c r="BF270" s="127">
        <f t="shared" si="985"/>
        <v>0</v>
      </c>
      <c r="BG270" s="127">
        <f t="shared" si="986"/>
        <v>0</v>
      </c>
      <c r="BH270" s="2"/>
      <c r="BI270" s="2"/>
      <c r="BJ270" s="2"/>
      <c r="BK270" s="2"/>
    </row>
    <row r="271" spans="1:64" s="6" customFormat="1" ht="20.100000000000001" customHeight="1" x14ac:dyDescent="0.3">
      <c r="A271" s="76"/>
      <c r="B271" s="77" t="s">
        <v>196</v>
      </c>
      <c r="C271" s="97">
        <f>+C269+C270</f>
        <v>700</v>
      </c>
      <c r="D271" s="97">
        <f t="shared" ref="D271:BG271" si="1003">+D269+D270</f>
        <v>100</v>
      </c>
      <c r="E271" s="97" t="e">
        <f t="shared" si="1003"/>
        <v>#REF!</v>
      </c>
      <c r="F271" s="97">
        <f t="shared" si="1003"/>
        <v>0</v>
      </c>
      <c r="G271" s="97">
        <f t="shared" si="1003"/>
        <v>0</v>
      </c>
      <c r="H271" s="97" t="e">
        <f t="shared" si="1003"/>
        <v>#REF!</v>
      </c>
      <c r="I271" s="97">
        <f t="shared" si="1003"/>
        <v>0</v>
      </c>
      <c r="J271" s="97">
        <f t="shared" si="1003"/>
        <v>0</v>
      </c>
      <c r="K271" s="97">
        <f t="shared" si="1003"/>
        <v>0</v>
      </c>
      <c r="L271" s="97">
        <f t="shared" si="1003"/>
        <v>50</v>
      </c>
      <c r="M271" s="97">
        <f t="shared" si="1003"/>
        <v>75</v>
      </c>
      <c r="N271" s="97">
        <f t="shared" si="1003"/>
        <v>125</v>
      </c>
      <c r="O271" s="97">
        <f t="shared" si="1003"/>
        <v>750</v>
      </c>
      <c r="P271" s="97">
        <f t="shared" si="1003"/>
        <v>175</v>
      </c>
      <c r="Q271" s="97">
        <f t="shared" si="1003"/>
        <v>925</v>
      </c>
      <c r="R271" s="97">
        <f t="shared" si="1003"/>
        <v>175</v>
      </c>
      <c r="S271" s="97">
        <f t="shared" si="1003"/>
        <v>15</v>
      </c>
      <c r="T271" s="97">
        <f t="shared" si="1003"/>
        <v>0</v>
      </c>
      <c r="U271" s="97">
        <f t="shared" si="1003"/>
        <v>0</v>
      </c>
      <c r="V271" s="97">
        <f t="shared" si="1003"/>
        <v>0</v>
      </c>
      <c r="W271" s="97">
        <f t="shared" si="1003"/>
        <v>0</v>
      </c>
      <c r="X271" s="97">
        <f t="shared" si="1003"/>
        <v>12.5</v>
      </c>
      <c r="Y271" s="119">
        <f t="shared" si="1003"/>
        <v>11.25</v>
      </c>
      <c r="Z271" s="97">
        <f t="shared" si="1003"/>
        <v>117.46</v>
      </c>
      <c r="AA271" s="97">
        <f t="shared" si="1003"/>
        <v>5.32</v>
      </c>
      <c r="AB271" s="97">
        <f t="shared" si="1003"/>
        <v>0</v>
      </c>
      <c r="AC271" s="97">
        <f t="shared" si="1003"/>
        <v>0</v>
      </c>
      <c r="AD271" s="97">
        <f t="shared" si="1003"/>
        <v>0</v>
      </c>
      <c r="AE271" s="97">
        <f t="shared" si="1003"/>
        <v>0</v>
      </c>
      <c r="AF271" s="97">
        <f t="shared" si="1003"/>
        <v>0</v>
      </c>
      <c r="AG271" s="97">
        <f t="shared" si="1003"/>
        <v>0</v>
      </c>
      <c r="AH271" s="97">
        <f t="shared" si="1003"/>
        <v>57.46</v>
      </c>
      <c r="AI271" s="97">
        <f t="shared" si="1003"/>
        <v>12.53</v>
      </c>
      <c r="AJ271" s="97">
        <f t="shared" si="1003"/>
        <v>0</v>
      </c>
      <c r="AK271" s="97">
        <f t="shared" si="1003"/>
        <v>0</v>
      </c>
      <c r="AL271" s="97">
        <f t="shared" si="1003"/>
        <v>0</v>
      </c>
      <c r="AM271" s="97">
        <f t="shared" si="1003"/>
        <v>0</v>
      </c>
      <c r="AN271" s="97">
        <f t="shared" si="1003"/>
        <v>12.5</v>
      </c>
      <c r="AO271" s="97">
        <f t="shared" si="1003"/>
        <v>13.06</v>
      </c>
      <c r="AP271" s="97">
        <f t="shared" si="1003"/>
        <v>175</v>
      </c>
      <c r="AQ271" s="97">
        <f t="shared" si="1003"/>
        <v>28.15</v>
      </c>
      <c r="AR271" s="97">
        <f t="shared" si="1003"/>
        <v>0</v>
      </c>
      <c r="AS271" s="97">
        <f t="shared" si="1003"/>
        <v>0</v>
      </c>
      <c r="AT271" s="97">
        <f t="shared" si="1003"/>
        <v>0</v>
      </c>
      <c r="AU271" s="97">
        <f t="shared" si="1003"/>
        <v>0</v>
      </c>
      <c r="AV271" s="97">
        <f t="shared" si="1003"/>
        <v>12.5</v>
      </c>
      <c r="AW271" s="97">
        <f t="shared" si="1003"/>
        <v>21.11</v>
      </c>
      <c r="AX271" s="97">
        <f t="shared" si="1003"/>
        <v>0</v>
      </c>
      <c r="AY271" s="97">
        <f t="shared" si="1003"/>
        <v>0</v>
      </c>
      <c r="AZ271" s="97">
        <f t="shared" si="1003"/>
        <v>524.92000000000007</v>
      </c>
      <c r="BA271" s="97">
        <f t="shared" si="1003"/>
        <v>61</v>
      </c>
      <c r="BB271" s="97">
        <f t="shared" si="1003"/>
        <v>0</v>
      </c>
      <c r="BC271" s="97">
        <f t="shared" si="1003"/>
        <v>0</v>
      </c>
      <c r="BD271" s="97">
        <f t="shared" si="1003"/>
        <v>0</v>
      </c>
      <c r="BE271" s="97">
        <f t="shared" si="1003"/>
        <v>0</v>
      </c>
      <c r="BF271" s="97">
        <f t="shared" si="1003"/>
        <v>37.5</v>
      </c>
      <c r="BG271" s="97">
        <f t="shared" si="1003"/>
        <v>45.42</v>
      </c>
      <c r="BH271" s="84"/>
      <c r="BI271" s="84"/>
      <c r="BJ271" s="84"/>
      <c r="BK271" s="84"/>
    </row>
    <row r="272" spans="1:64" ht="20.100000000000001" customHeight="1" x14ac:dyDescent="0.3">
      <c r="A272" s="15">
        <v>4</v>
      </c>
      <c r="B272" s="16" t="s">
        <v>198</v>
      </c>
      <c r="C272" s="63">
        <v>20000</v>
      </c>
      <c r="D272" s="63">
        <v>4000</v>
      </c>
      <c r="E272" s="19" t="e">
        <f>C272+D272+#REF!+#REF!</f>
        <v>#REF!</v>
      </c>
      <c r="F272" s="63">
        <v>2400</v>
      </c>
      <c r="G272" s="63">
        <v>1100</v>
      </c>
      <c r="H272" s="19" t="e">
        <f>F272+G272+#REF!</f>
        <v>#REF!</v>
      </c>
      <c r="I272" s="17">
        <v>800</v>
      </c>
      <c r="J272" s="17">
        <v>750</v>
      </c>
      <c r="K272" s="19">
        <f>I272+J272</f>
        <v>1550</v>
      </c>
      <c r="L272" s="63">
        <v>1200</v>
      </c>
      <c r="M272" s="63">
        <v>1400</v>
      </c>
      <c r="N272" s="19">
        <f t="shared" si="972"/>
        <v>2600</v>
      </c>
      <c r="O272" s="19">
        <f>C272+F272+I272+L272</f>
        <v>24400</v>
      </c>
      <c r="P272" s="20">
        <f>D272+G272+J272+M272</f>
        <v>7250</v>
      </c>
      <c r="Q272" s="19">
        <f t="shared" si="957"/>
        <v>31650</v>
      </c>
      <c r="R272" s="17">
        <f t="shared" si="1002"/>
        <v>5000</v>
      </c>
      <c r="S272" s="17">
        <f t="shared" si="968"/>
        <v>600</v>
      </c>
      <c r="T272" s="17">
        <f t="shared" si="991"/>
        <v>600</v>
      </c>
      <c r="U272" s="17">
        <f t="shared" si="969"/>
        <v>165</v>
      </c>
      <c r="V272" s="17">
        <f t="shared" si="992"/>
        <v>200</v>
      </c>
      <c r="W272" s="17">
        <f t="shared" si="970"/>
        <v>112.5</v>
      </c>
      <c r="X272" s="17">
        <f t="shared" si="993"/>
        <v>300</v>
      </c>
      <c r="Y272" s="113">
        <f t="shared" si="971"/>
        <v>210</v>
      </c>
      <c r="Z272" s="127">
        <f>ROUND(C272*16.78%,2)+1</f>
        <v>3357</v>
      </c>
      <c r="AA272" s="127">
        <f>ROUND(D272*5.32%,2)-0.1</f>
        <v>212.70000000000002</v>
      </c>
      <c r="AB272" s="127">
        <f>ROUND(F272*7.67%,2)-0.08</f>
        <v>184</v>
      </c>
      <c r="AC272" s="127">
        <f>ROUND(G272*3.85%,2)+0.09</f>
        <v>42.440000000000005</v>
      </c>
      <c r="AD272" s="127">
        <v>128</v>
      </c>
      <c r="AE272" s="127">
        <v>28.94</v>
      </c>
      <c r="AF272" s="127">
        <v>0</v>
      </c>
      <c r="AG272" s="127">
        <v>0</v>
      </c>
      <c r="AH272" s="127">
        <f>ROUND(C272*8.22%,2)-0.56</f>
        <v>1643.44</v>
      </c>
      <c r="AI272" s="127">
        <f>ROUND(D272*12.53%,2)+0.14</f>
        <v>501.34</v>
      </c>
      <c r="AJ272" s="127">
        <f>ROUND(F272*17%,2)+8</f>
        <v>416</v>
      </c>
      <c r="AK272" s="127">
        <f>ROUND(G272*14%,2)-0.09</f>
        <v>153.91</v>
      </c>
      <c r="AL272" s="127">
        <f t="shared" si="1000"/>
        <v>72</v>
      </c>
      <c r="AM272" s="127">
        <f>ROUND(J272*14%,2)-0.06</f>
        <v>104.94</v>
      </c>
      <c r="AN272" s="127">
        <f t="shared" si="887"/>
        <v>300</v>
      </c>
      <c r="AO272" s="127">
        <f>ROUND(M272*18%,2)-2</f>
        <v>250</v>
      </c>
      <c r="AP272" s="127">
        <f t="shared" si="889"/>
        <v>5000</v>
      </c>
      <c r="AQ272" s="127">
        <f t="shared" si="890"/>
        <v>1126</v>
      </c>
      <c r="AR272" s="127">
        <f t="shared" si="891"/>
        <v>600</v>
      </c>
      <c r="AS272" s="127">
        <f t="shared" si="892"/>
        <v>309.64999999999998</v>
      </c>
      <c r="AT272" s="127">
        <f t="shared" si="893"/>
        <v>200</v>
      </c>
      <c r="AU272" s="127">
        <f>ROUND(J272*28.15%,2)-0.01</f>
        <v>211.12</v>
      </c>
      <c r="AV272" s="127">
        <f t="shared" si="895"/>
        <v>300</v>
      </c>
      <c r="AW272" s="127">
        <f t="shared" si="896"/>
        <v>394.1</v>
      </c>
      <c r="AX272" s="127"/>
      <c r="AY272" s="127"/>
      <c r="AZ272" s="127">
        <f t="shared" si="984"/>
        <v>15000.44</v>
      </c>
      <c r="BA272" s="127">
        <f t="shared" si="958"/>
        <v>2440.04</v>
      </c>
      <c r="BB272" s="127">
        <f t="shared" si="985"/>
        <v>1800</v>
      </c>
      <c r="BC272" s="127">
        <f t="shared" si="985"/>
        <v>671</v>
      </c>
      <c r="BD272" s="127">
        <f t="shared" si="985"/>
        <v>600</v>
      </c>
      <c r="BE272" s="127">
        <f t="shared" si="985"/>
        <v>457.5</v>
      </c>
      <c r="BF272" s="127">
        <f t="shared" si="985"/>
        <v>900</v>
      </c>
      <c r="BG272" s="127">
        <f t="shared" si="986"/>
        <v>854.1</v>
      </c>
      <c r="BH272" s="2"/>
      <c r="BI272" s="2"/>
      <c r="BJ272" s="2"/>
      <c r="BK272" s="2"/>
    </row>
    <row r="273" spans="1:64" s="34" customFormat="1" ht="20.100000000000001" customHeight="1" x14ac:dyDescent="0.3">
      <c r="A273" s="31"/>
      <c r="B273" s="32" t="s">
        <v>199</v>
      </c>
      <c r="C273" s="33">
        <f>+C268+C271+C272</f>
        <v>23200</v>
      </c>
      <c r="D273" s="33">
        <f t="shared" ref="D273:L273" si="1004">+D268+D271+D272</f>
        <v>4300</v>
      </c>
      <c r="E273" s="33" t="e">
        <f t="shared" si="1004"/>
        <v>#REF!</v>
      </c>
      <c r="F273" s="33">
        <f t="shared" si="1004"/>
        <v>2400</v>
      </c>
      <c r="G273" s="33">
        <f t="shared" si="1004"/>
        <v>1100</v>
      </c>
      <c r="H273" s="33" t="e">
        <f t="shared" si="1004"/>
        <v>#REF!</v>
      </c>
      <c r="I273" s="33">
        <f t="shared" si="1004"/>
        <v>800</v>
      </c>
      <c r="J273" s="33">
        <f t="shared" si="1004"/>
        <v>750</v>
      </c>
      <c r="K273" s="33">
        <f t="shared" si="1004"/>
        <v>1550</v>
      </c>
      <c r="L273" s="33">
        <f t="shared" si="1004"/>
        <v>1325</v>
      </c>
      <c r="M273" s="33">
        <f>+M268+M271+M272</f>
        <v>1625</v>
      </c>
      <c r="N273" s="33">
        <f t="shared" ref="N273:AH273" si="1005">+N268+N271+N272</f>
        <v>2950</v>
      </c>
      <c r="O273" s="33">
        <f t="shared" si="1005"/>
        <v>27725</v>
      </c>
      <c r="P273" s="33">
        <f t="shared" si="1005"/>
        <v>7775</v>
      </c>
      <c r="Q273" s="33">
        <f t="shared" si="1005"/>
        <v>35500</v>
      </c>
      <c r="R273" s="33">
        <f t="shared" si="1005"/>
        <v>5800</v>
      </c>
      <c r="S273" s="33">
        <f t="shared" si="1005"/>
        <v>645</v>
      </c>
      <c r="T273" s="33">
        <f t="shared" si="1005"/>
        <v>600</v>
      </c>
      <c r="U273" s="33">
        <f t="shared" si="1005"/>
        <v>165</v>
      </c>
      <c r="V273" s="33">
        <f t="shared" si="1005"/>
        <v>200</v>
      </c>
      <c r="W273" s="33">
        <f t="shared" si="1005"/>
        <v>112.5</v>
      </c>
      <c r="X273" s="33">
        <f t="shared" si="1005"/>
        <v>331.25</v>
      </c>
      <c r="Y273" s="117">
        <f t="shared" si="1005"/>
        <v>243.75</v>
      </c>
      <c r="Z273" s="33">
        <f t="shared" si="1005"/>
        <v>3894</v>
      </c>
      <c r="AA273" s="33">
        <f t="shared" si="1005"/>
        <v>228.62</v>
      </c>
      <c r="AB273" s="33">
        <f t="shared" si="1005"/>
        <v>184</v>
      </c>
      <c r="AC273" s="33">
        <f t="shared" si="1005"/>
        <v>42.440000000000005</v>
      </c>
      <c r="AD273" s="33">
        <f t="shared" si="1005"/>
        <v>128</v>
      </c>
      <c r="AE273" s="33">
        <f t="shared" si="1005"/>
        <v>28.94</v>
      </c>
      <c r="AF273" s="33">
        <f t="shared" si="1005"/>
        <v>0</v>
      </c>
      <c r="AG273" s="33">
        <f t="shared" si="1005"/>
        <v>0</v>
      </c>
      <c r="AH273" s="33">
        <f t="shared" si="1005"/>
        <v>1906</v>
      </c>
      <c r="AI273" s="33">
        <f t="shared" ref="AI273" si="1006">+AI268+AI271+AI272</f>
        <v>538.92999999999995</v>
      </c>
      <c r="AJ273" s="33">
        <f t="shared" ref="AJ273" si="1007">+AJ268+AJ271+AJ272</f>
        <v>416</v>
      </c>
      <c r="AK273" s="33">
        <f t="shared" ref="AK273:BG273" si="1008">+AK268+AK271+AK272</f>
        <v>153.91</v>
      </c>
      <c r="AL273" s="33">
        <f t="shared" si="1008"/>
        <v>72</v>
      </c>
      <c r="AM273" s="33">
        <f t="shared" si="1008"/>
        <v>104.94</v>
      </c>
      <c r="AN273" s="33">
        <f t="shared" si="1008"/>
        <v>331.25</v>
      </c>
      <c r="AO273" s="33">
        <f t="shared" si="1008"/>
        <v>290.06</v>
      </c>
      <c r="AP273" s="33">
        <f t="shared" si="1008"/>
        <v>5800</v>
      </c>
      <c r="AQ273" s="33">
        <f t="shared" si="1008"/>
        <v>1210.45</v>
      </c>
      <c r="AR273" s="33">
        <f t="shared" si="1008"/>
        <v>600</v>
      </c>
      <c r="AS273" s="33">
        <f t="shared" si="1008"/>
        <v>309.64999999999998</v>
      </c>
      <c r="AT273" s="33">
        <f t="shared" si="1008"/>
        <v>200</v>
      </c>
      <c r="AU273" s="33">
        <f t="shared" si="1008"/>
        <v>211.12</v>
      </c>
      <c r="AV273" s="33">
        <f t="shared" si="1008"/>
        <v>331.25</v>
      </c>
      <c r="AW273" s="33">
        <f t="shared" si="1008"/>
        <v>457.44</v>
      </c>
      <c r="AX273" s="33">
        <f t="shared" si="1008"/>
        <v>0</v>
      </c>
      <c r="AY273" s="33">
        <f t="shared" si="1008"/>
        <v>0</v>
      </c>
      <c r="AZ273" s="33">
        <f t="shared" si="1008"/>
        <v>17400</v>
      </c>
      <c r="BA273" s="33">
        <f t="shared" si="1008"/>
        <v>2623</v>
      </c>
      <c r="BB273" s="33">
        <f t="shared" si="1008"/>
        <v>1800</v>
      </c>
      <c r="BC273" s="33">
        <f t="shared" si="1008"/>
        <v>671</v>
      </c>
      <c r="BD273" s="33">
        <f t="shared" si="1008"/>
        <v>600</v>
      </c>
      <c r="BE273" s="33">
        <f t="shared" si="1008"/>
        <v>457.5</v>
      </c>
      <c r="BF273" s="33">
        <f t="shared" si="1008"/>
        <v>993.75</v>
      </c>
      <c r="BG273" s="33">
        <f t="shared" si="1008"/>
        <v>991.25</v>
      </c>
      <c r="BH273" s="2"/>
      <c r="BI273" s="2"/>
      <c r="BJ273" s="2"/>
      <c r="BK273" s="2"/>
    </row>
    <row r="274" spans="1:64" ht="20.100000000000001" customHeight="1" x14ac:dyDescent="0.3">
      <c r="A274" s="15">
        <v>1</v>
      </c>
      <c r="B274" s="16" t="s">
        <v>200</v>
      </c>
      <c r="C274" s="17">
        <v>3150</v>
      </c>
      <c r="D274" s="17">
        <v>1650</v>
      </c>
      <c r="E274" s="19" t="e">
        <f>C274+D274+#REF!+#REF!</f>
        <v>#REF!</v>
      </c>
      <c r="F274" s="17">
        <v>0</v>
      </c>
      <c r="G274" s="28">
        <v>0</v>
      </c>
      <c r="H274" s="19" t="e">
        <f>F274+G274+#REF!</f>
        <v>#REF!</v>
      </c>
      <c r="I274" s="17">
        <v>0</v>
      </c>
      <c r="J274" s="17">
        <v>0</v>
      </c>
      <c r="K274" s="19">
        <f>I274+J274</f>
        <v>0</v>
      </c>
      <c r="L274" s="28"/>
      <c r="M274" s="28"/>
      <c r="N274" s="19">
        <f t="shared" si="972"/>
        <v>0</v>
      </c>
      <c r="O274" s="19">
        <f>C274+F274+I274+L274</f>
        <v>3150</v>
      </c>
      <c r="P274" s="20">
        <f>D274+G274+J274+M274</f>
        <v>1650</v>
      </c>
      <c r="Q274" s="19">
        <f t="shared" si="957"/>
        <v>4800</v>
      </c>
      <c r="R274" s="17">
        <f t="shared" ref="R274" si="1009">ROUND(C274*0.25,2)</f>
        <v>787.5</v>
      </c>
      <c r="S274" s="17">
        <f>ROUND(D274*0.15,2)+959.64</f>
        <v>1207.1399999999999</v>
      </c>
      <c r="T274" s="17">
        <f t="shared" ref="T274" si="1010">ROUND(F274*0.25,2)</f>
        <v>0</v>
      </c>
      <c r="U274" s="17">
        <f t="shared" si="969"/>
        <v>0</v>
      </c>
      <c r="V274" s="17">
        <f t="shared" ref="V274" si="1011">ROUND(I274*0.25,2)</f>
        <v>0</v>
      </c>
      <c r="W274" s="17">
        <f t="shared" si="970"/>
        <v>0</v>
      </c>
      <c r="X274" s="17">
        <f t="shared" ref="X274" si="1012">ROUND(L274*0.25,2)</f>
        <v>0</v>
      </c>
      <c r="Y274" s="113">
        <f t="shared" si="971"/>
        <v>0</v>
      </c>
      <c r="Z274" s="127">
        <v>504</v>
      </c>
      <c r="AA274" s="127">
        <v>44</v>
      </c>
      <c r="AB274" s="127">
        <f t="shared" si="982"/>
        <v>0</v>
      </c>
      <c r="AC274" s="127">
        <f t="shared" si="983"/>
        <v>0</v>
      </c>
      <c r="AD274" s="127">
        <f t="shared" si="973"/>
        <v>0</v>
      </c>
      <c r="AE274" s="127">
        <f t="shared" si="974"/>
        <v>0</v>
      </c>
      <c r="AF274" s="127">
        <v>0</v>
      </c>
      <c r="AG274" s="127">
        <v>0</v>
      </c>
      <c r="AH274" s="127">
        <f>ROUND(C274*9%,2)</f>
        <v>283.5</v>
      </c>
      <c r="AI274" s="127">
        <f>ROUND(D274*15%,2)+3.03</f>
        <v>250.53</v>
      </c>
      <c r="AJ274" s="127">
        <v>0</v>
      </c>
      <c r="AK274" s="127">
        <v>0</v>
      </c>
      <c r="AL274" s="127">
        <v>0</v>
      </c>
      <c r="AM274" s="127">
        <v>0</v>
      </c>
      <c r="AN274" s="127">
        <f t="shared" si="887"/>
        <v>0</v>
      </c>
      <c r="AO274" s="127">
        <f t="shared" si="888"/>
        <v>0</v>
      </c>
      <c r="AP274" s="127">
        <f t="shared" si="889"/>
        <v>787.5</v>
      </c>
      <c r="AQ274" s="127">
        <v>0</v>
      </c>
      <c r="AR274" s="127">
        <f t="shared" si="891"/>
        <v>0</v>
      </c>
      <c r="AS274" s="127">
        <f t="shared" si="892"/>
        <v>0</v>
      </c>
      <c r="AT274" s="127">
        <f t="shared" si="893"/>
        <v>0</v>
      </c>
      <c r="AU274" s="127">
        <f t="shared" si="894"/>
        <v>0</v>
      </c>
      <c r="AV274" s="127">
        <f t="shared" si="895"/>
        <v>0</v>
      </c>
      <c r="AW274" s="127">
        <f t="shared" si="896"/>
        <v>0</v>
      </c>
      <c r="AX274" s="127"/>
      <c r="AY274" s="127"/>
      <c r="AZ274" s="127">
        <f t="shared" si="984"/>
        <v>2362.5</v>
      </c>
      <c r="BA274" s="127">
        <f t="shared" si="958"/>
        <v>1501.6699999999998</v>
      </c>
      <c r="BB274" s="127">
        <f t="shared" si="985"/>
        <v>0</v>
      </c>
      <c r="BC274" s="127">
        <f t="shared" si="985"/>
        <v>0</v>
      </c>
      <c r="BD274" s="127">
        <f t="shared" si="985"/>
        <v>0</v>
      </c>
      <c r="BE274" s="127">
        <f t="shared" si="985"/>
        <v>0</v>
      </c>
      <c r="BF274" s="127">
        <f t="shared" si="985"/>
        <v>0</v>
      </c>
      <c r="BG274" s="127">
        <f t="shared" si="986"/>
        <v>0</v>
      </c>
      <c r="BH274" s="2"/>
      <c r="BI274" s="2"/>
      <c r="BJ274" s="2"/>
      <c r="BK274" s="2"/>
    </row>
    <row r="275" spans="1:64" s="34" customFormat="1" ht="20.100000000000001" customHeight="1" x14ac:dyDescent="0.3">
      <c r="A275" s="31"/>
      <c r="B275" s="32" t="s">
        <v>221</v>
      </c>
      <c r="C275" s="33">
        <f t="shared" ref="C275:BG275" si="1013">SUM(C274:C274)</f>
        <v>3150</v>
      </c>
      <c r="D275" s="33">
        <f t="shared" si="1013"/>
        <v>1650</v>
      </c>
      <c r="E275" s="33" t="e">
        <f t="shared" si="1013"/>
        <v>#REF!</v>
      </c>
      <c r="F275" s="33">
        <f t="shared" si="1013"/>
        <v>0</v>
      </c>
      <c r="G275" s="33">
        <f t="shared" si="1013"/>
        <v>0</v>
      </c>
      <c r="H275" s="33" t="e">
        <f t="shared" si="1013"/>
        <v>#REF!</v>
      </c>
      <c r="I275" s="33">
        <f t="shared" si="1013"/>
        <v>0</v>
      </c>
      <c r="J275" s="33">
        <f t="shared" si="1013"/>
        <v>0</v>
      </c>
      <c r="K275" s="33">
        <f t="shared" si="1013"/>
        <v>0</v>
      </c>
      <c r="L275" s="33">
        <f t="shared" si="1013"/>
        <v>0</v>
      </c>
      <c r="M275" s="33">
        <f t="shared" si="1013"/>
        <v>0</v>
      </c>
      <c r="N275" s="33">
        <f t="shared" si="1013"/>
        <v>0</v>
      </c>
      <c r="O275" s="33">
        <f t="shared" si="1013"/>
        <v>3150</v>
      </c>
      <c r="P275" s="33">
        <f t="shared" si="1013"/>
        <v>1650</v>
      </c>
      <c r="Q275" s="33">
        <f t="shared" si="1013"/>
        <v>4800</v>
      </c>
      <c r="R275" s="33">
        <f t="shared" si="1013"/>
        <v>787.5</v>
      </c>
      <c r="S275" s="33">
        <f t="shared" si="1013"/>
        <v>1207.1399999999999</v>
      </c>
      <c r="T275" s="33">
        <f t="shared" si="1013"/>
        <v>0</v>
      </c>
      <c r="U275" s="33">
        <f t="shared" si="1013"/>
        <v>0</v>
      </c>
      <c r="V275" s="33">
        <f t="shared" si="1013"/>
        <v>0</v>
      </c>
      <c r="W275" s="33">
        <f t="shared" si="1013"/>
        <v>0</v>
      </c>
      <c r="X275" s="33">
        <f t="shared" si="1013"/>
        <v>0</v>
      </c>
      <c r="Y275" s="117">
        <f t="shared" si="1013"/>
        <v>0</v>
      </c>
      <c r="Z275" s="33">
        <f t="shared" si="1013"/>
        <v>504</v>
      </c>
      <c r="AA275" s="33">
        <f t="shared" si="1013"/>
        <v>44</v>
      </c>
      <c r="AB275" s="33">
        <f t="shared" si="1013"/>
        <v>0</v>
      </c>
      <c r="AC275" s="33">
        <f t="shared" si="1013"/>
        <v>0</v>
      </c>
      <c r="AD275" s="33">
        <f t="shared" si="1013"/>
        <v>0</v>
      </c>
      <c r="AE275" s="33">
        <f t="shared" si="1013"/>
        <v>0</v>
      </c>
      <c r="AF275" s="33">
        <f t="shared" si="1013"/>
        <v>0</v>
      </c>
      <c r="AG275" s="33">
        <f t="shared" si="1013"/>
        <v>0</v>
      </c>
      <c r="AH275" s="33">
        <f t="shared" si="1013"/>
        <v>283.5</v>
      </c>
      <c r="AI275" s="33">
        <f t="shared" si="1013"/>
        <v>250.53</v>
      </c>
      <c r="AJ275" s="33">
        <f t="shared" si="1013"/>
        <v>0</v>
      </c>
      <c r="AK275" s="33">
        <f t="shared" si="1013"/>
        <v>0</v>
      </c>
      <c r="AL275" s="33">
        <f t="shared" si="1013"/>
        <v>0</v>
      </c>
      <c r="AM275" s="33">
        <f t="shared" si="1013"/>
        <v>0</v>
      </c>
      <c r="AN275" s="33">
        <f t="shared" si="1013"/>
        <v>0</v>
      </c>
      <c r="AO275" s="33">
        <f t="shared" si="1013"/>
        <v>0</v>
      </c>
      <c r="AP275" s="33">
        <f t="shared" si="1013"/>
        <v>787.5</v>
      </c>
      <c r="AQ275" s="33">
        <f t="shared" si="1013"/>
        <v>0</v>
      </c>
      <c r="AR275" s="33">
        <f t="shared" si="1013"/>
        <v>0</v>
      </c>
      <c r="AS275" s="33">
        <f t="shared" si="1013"/>
        <v>0</v>
      </c>
      <c r="AT275" s="33">
        <f t="shared" si="1013"/>
        <v>0</v>
      </c>
      <c r="AU275" s="33">
        <f t="shared" si="1013"/>
        <v>0</v>
      </c>
      <c r="AV275" s="33">
        <f t="shared" si="1013"/>
        <v>0</v>
      </c>
      <c r="AW275" s="33">
        <f t="shared" si="1013"/>
        <v>0</v>
      </c>
      <c r="AX275" s="33">
        <f t="shared" si="1013"/>
        <v>0</v>
      </c>
      <c r="AY275" s="33">
        <f t="shared" si="1013"/>
        <v>0</v>
      </c>
      <c r="AZ275" s="33">
        <f t="shared" si="1013"/>
        <v>2362.5</v>
      </c>
      <c r="BA275" s="33">
        <f t="shared" si="1013"/>
        <v>1501.6699999999998</v>
      </c>
      <c r="BB275" s="33">
        <f t="shared" si="1013"/>
        <v>0</v>
      </c>
      <c r="BC275" s="33">
        <f t="shared" si="1013"/>
        <v>0</v>
      </c>
      <c r="BD275" s="33">
        <f t="shared" si="1013"/>
        <v>0</v>
      </c>
      <c r="BE275" s="33">
        <f t="shared" si="1013"/>
        <v>0</v>
      </c>
      <c r="BF275" s="33">
        <f t="shared" si="1013"/>
        <v>0</v>
      </c>
      <c r="BG275" s="33">
        <f t="shared" si="1013"/>
        <v>0</v>
      </c>
      <c r="BH275" s="33"/>
      <c r="BI275" s="33"/>
      <c r="BJ275" s="33"/>
      <c r="BK275" s="33"/>
    </row>
    <row r="276" spans="1:64" ht="20.100000000000001" customHeight="1" thickBot="1" x14ac:dyDescent="0.35">
      <c r="A276" s="15">
        <v>1</v>
      </c>
      <c r="B276" s="16" t="s">
        <v>201</v>
      </c>
      <c r="C276" s="66">
        <v>513</v>
      </c>
      <c r="D276" s="66">
        <v>28</v>
      </c>
      <c r="E276" s="19" t="e">
        <f>C276+D276+#REF!+#REF!</f>
        <v>#REF!</v>
      </c>
      <c r="F276" s="17">
        <v>0</v>
      </c>
      <c r="G276" s="28">
        <v>0</v>
      </c>
      <c r="H276" s="19" t="e">
        <f>F276+G276+#REF!</f>
        <v>#REF!</v>
      </c>
      <c r="I276" s="17">
        <v>0</v>
      </c>
      <c r="J276" s="17">
        <v>0</v>
      </c>
      <c r="K276" s="19">
        <f t="shared" ref="K276:K304" si="1014">I276+J276</f>
        <v>0</v>
      </c>
      <c r="L276" s="28">
        <v>0</v>
      </c>
      <c r="M276" s="28">
        <v>0</v>
      </c>
      <c r="N276" s="19">
        <f t="shared" si="972"/>
        <v>0</v>
      </c>
      <c r="O276" s="19">
        <f t="shared" ref="O276:O291" si="1015">C276+F276+I276+L276</f>
        <v>513</v>
      </c>
      <c r="P276" s="20">
        <f t="shared" ref="P276:P291" si="1016">D276+G276+J276+M276</f>
        <v>28</v>
      </c>
      <c r="Q276" s="19">
        <f t="shared" si="957"/>
        <v>541</v>
      </c>
      <c r="R276" s="17">
        <f t="shared" ref="R276" si="1017">ROUND(C276*0.25,2)</f>
        <v>128.25</v>
      </c>
      <c r="S276" s="17">
        <f t="shared" si="968"/>
        <v>4.2</v>
      </c>
      <c r="T276" s="17">
        <f t="shared" ref="T276:T304" si="1018">ROUND(F276*0.25,2)</f>
        <v>0</v>
      </c>
      <c r="U276" s="17">
        <f t="shared" si="969"/>
        <v>0</v>
      </c>
      <c r="V276" s="17">
        <f t="shared" ref="V276:V304" si="1019">ROUND(I276*0.25,2)</f>
        <v>0</v>
      </c>
      <c r="W276" s="17">
        <f t="shared" si="970"/>
        <v>0</v>
      </c>
      <c r="X276" s="17">
        <f t="shared" ref="X276:X304" si="1020">ROUND(L276*0.25,2)</f>
        <v>0</v>
      </c>
      <c r="Y276" s="113">
        <f t="shared" si="971"/>
        <v>0</v>
      </c>
      <c r="Z276" s="127">
        <f>ROUND(C276*20.03%,2)</f>
        <v>102.75</v>
      </c>
      <c r="AA276" s="127">
        <f>ROUND(D276*7.2%,2)</f>
        <v>2.02</v>
      </c>
      <c r="AB276" s="127">
        <f>ROUND(F276*25.17%,2)</f>
        <v>0</v>
      </c>
      <c r="AC276" s="127">
        <f>ROUND(G276*4.43%,2)</f>
        <v>0</v>
      </c>
      <c r="AD276" s="127">
        <f>ROUND(I276*16%,2)</f>
        <v>0</v>
      </c>
      <c r="AE276" s="127">
        <f>ROUND(J276*4.43%,2)</f>
        <v>0</v>
      </c>
      <c r="AF276" s="127">
        <v>0</v>
      </c>
      <c r="AG276" s="127">
        <v>0</v>
      </c>
      <c r="AH276" s="127">
        <f>ROUND(C276*4.97%,2)-0.15</f>
        <v>25.35</v>
      </c>
      <c r="AI276" s="127">
        <f>ROUND(D276*10.65%,2)+0.02</f>
        <v>3</v>
      </c>
      <c r="AJ276" s="127">
        <v>0</v>
      </c>
      <c r="AK276" s="127">
        <f>ROUND(G276*13%,2)</f>
        <v>0</v>
      </c>
      <c r="AL276" s="127">
        <f t="shared" ref="AL276:AL304" si="1021">ROUND(I276*9%,2)</f>
        <v>0</v>
      </c>
      <c r="AM276" s="127">
        <f>ROUND(J276*13%,2)</f>
        <v>0</v>
      </c>
      <c r="AN276" s="127">
        <f t="shared" si="887"/>
        <v>0</v>
      </c>
      <c r="AO276" s="127">
        <f t="shared" si="888"/>
        <v>0</v>
      </c>
      <c r="AP276" s="127">
        <f>ROUND(C276*25%,2)-0.01</f>
        <v>128.24</v>
      </c>
      <c r="AQ276" s="127">
        <f t="shared" si="890"/>
        <v>7.88</v>
      </c>
      <c r="AR276" s="127">
        <f>ROUND(F276*24.83%,2)</f>
        <v>0</v>
      </c>
      <c r="AS276" s="127">
        <f>ROUND(G276*28.2%,2)</f>
        <v>0</v>
      </c>
      <c r="AT276" s="127">
        <f t="shared" si="893"/>
        <v>0</v>
      </c>
      <c r="AU276" s="127">
        <f t="shared" si="894"/>
        <v>0</v>
      </c>
      <c r="AV276" s="127">
        <f t="shared" si="895"/>
        <v>0</v>
      </c>
      <c r="AW276" s="127">
        <f t="shared" si="896"/>
        <v>0</v>
      </c>
      <c r="AX276" s="127"/>
      <c r="AY276" s="127"/>
      <c r="AZ276" s="127">
        <f t="shared" si="984"/>
        <v>384.59000000000003</v>
      </c>
      <c r="BA276" s="127">
        <f t="shared" si="958"/>
        <v>17.099999999999998</v>
      </c>
      <c r="BB276" s="127">
        <f t="shared" si="985"/>
        <v>0</v>
      </c>
      <c r="BC276" s="127">
        <f t="shared" si="985"/>
        <v>0</v>
      </c>
      <c r="BD276" s="127">
        <f t="shared" si="985"/>
        <v>0</v>
      </c>
      <c r="BE276" s="127">
        <f t="shared" si="985"/>
        <v>0</v>
      </c>
      <c r="BF276" s="127">
        <f t="shared" si="985"/>
        <v>0</v>
      </c>
      <c r="BG276" s="127">
        <f t="shared" si="986"/>
        <v>0</v>
      </c>
      <c r="BH276" s="2"/>
      <c r="BI276" s="2"/>
      <c r="BJ276" s="2"/>
      <c r="BK276" s="2"/>
    </row>
    <row r="277" spans="1:64" ht="20.100000000000001" customHeight="1" x14ac:dyDescent="0.3">
      <c r="A277" s="15">
        <v>2</v>
      </c>
      <c r="B277" s="16" t="s">
        <v>202</v>
      </c>
      <c r="C277" s="17">
        <v>897</v>
      </c>
      <c r="D277" s="17">
        <v>508</v>
      </c>
      <c r="E277" s="19" t="e">
        <f>C277+D277+#REF!+#REF!</f>
        <v>#REF!</v>
      </c>
      <c r="F277" s="17">
        <v>0</v>
      </c>
      <c r="G277" s="28">
        <v>0</v>
      </c>
      <c r="H277" s="19" t="e">
        <f>F277+G277+#REF!</f>
        <v>#REF!</v>
      </c>
      <c r="I277" s="17">
        <v>203</v>
      </c>
      <c r="J277" s="17">
        <v>233</v>
      </c>
      <c r="K277" s="19">
        <f t="shared" si="1014"/>
        <v>436</v>
      </c>
      <c r="L277" s="28">
        <v>762</v>
      </c>
      <c r="M277" s="28">
        <v>445</v>
      </c>
      <c r="N277" s="19">
        <f t="shared" si="972"/>
        <v>1207</v>
      </c>
      <c r="O277" s="19">
        <f t="shared" si="1015"/>
        <v>1862</v>
      </c>
      <c r="P277" s="20">
        <f t="shared" si="1016"/>
        <v>1186</v>
      </c>
      <c r="Q277" s="19">
        <f t="shared" si="957"/>
        <v>3048</v>
      </c>
      <c r="R277" s="17">
        <f t="shared" ref="R277:R287" si="1022">ROUND(C277*0.25,2)</f>
        <v>224.25</v>
      </c>
      <c r="S277" s="17">
        <f t="shared" si="968"/>
        <v>76.2</v>
      </c>
      <c r="T277" s="17">
        <f t="shared" si="1018"/>
        <v>0</v>
      </c>
      <c r="U277" s="17">
        <f t="shared" si="969"/>
        <v>0</v>
      </c>
      <c r="V277" s="17">
        <f t="shared" si="1019"/>
        <v>50.75</v>
      </c>
      <c r="W277" s="17">
        <f t="shared" si="970"/>
        <v>34.950000000000003</v>
      </c>
      <c r="X277" s="17">
        <f t="shared" si="1020"/>
        <v>190.5</v>
      </c>
      <c r="Y277" s="113">
        <f t="shared" si="971"/>
        <v>66.75</v>
      </c>
      <c r="Z277" s="127">
        <f>ROUND(C277*20.03%,2)+0.03</f>
        <v>179.7</v>
      </c>
      <c r="AA277" s="127">
        <f t="shared" ref="AA277:AA303" si="1023">ROUND(D277*7.2%,2)</f>
        <v>36.58</v>
      </c>
      <c r="AB277" s="127">
        <f t="shared" ref="AB277:AB304" si="1024">ROUND(F277*25.17%,2)</f>
        <v>0</v>
      </c>
      <c r="AC277" s="127">
        <f t="shared" ref="AC277:AC304" si="1025">ROUND(G277*4.43%,2)</f>
        <v>0</v>
      </c>
      <c r="AD277" s="127">
        <f t="shared" ref="AD277:AD304" si="1026">ROUND(I277*16%,2)</f>
        <v>32.479999999999997</v>
      </c>
      <c r="AE277" s="127">
        <f>ROUND(J277*4.43%,2)+0.01</f>
        <v>10.33</v>
      </c>
      <c r="AF277" s="127">
        <v>0</v>
      </c>
      <c r="AG277" s="127">
        <v>0</v>
      </c>
      <c r="AH277" s="127">
        <f>ROUND(C277*4.97%,2)-0.05</f>
        <v>44.53</v>
      </c>
      <c r="AI277" s="127">
        <f t="shared" ref="AI277:AI282" si="1027">ROUND(D277*10.65%,2)+0.02</f>
        <v>54.120000000000005</v>
      </c>
      <c r="AJ277" s="127">
        <v>0</v>
      </c>
      <c r="AK277" s="127">
        <f t="shared" ref="AK277:AK304" si="1028">ROUND(G277*13%,2)</f>
        <v>0</v>
      </c>
      <c r="AL277" s="127">
        <f t="shared" si="1021"/>
        <v>18.27</v>
      </c>
      <c r="AM277" s="127">
        <f>ROUND(J277*13%,2)+0.9</f>
        <v>31.189999999999998</v>
      </c>
      <c r="AN277" s="127">
        <f t="shared" si="887"/>
        <v>190.5</v>
      </c>
      <c r="AO277" s="127">
        <f t="shared" si="888"/>
        <v>80.099999999999994</v>
      </c>
      <c r="AP277" s="127">
        <f t="shared" ref="AP277:AP279" si="1029">ROUND(C277*25%,2)-0.01</f>
        <v>224.24</v>
      </c>
      <c r="AQ277" s="127">
        <f t="shared" si="890"/>
        <v>143</v>
      </c>
      <c r="AR277" s="127">
        <f t="shared" ref="AR277:AR304" si="1030">ROUND(F277*24.83%,2)</f>
        <v>0</v>
      </c>
      <c r="AS277" s="127">
        <f t="shared" ref="AS277:AS304" si="1031">ROUND(G277*28.2%,2)</f>
        <v>0</v>
      </c>
      <c r="AT277" s="127">
        <f t="shared" si="893"/>
        <v>50.75</v>
      </c>
      <c r="AU277" s="127">
        <f t="shared" si="894"/>
        <v>65.59</v>
      </c>
      <c r="AV277" s="127">
        <f t="shared" si="895"/>
        <v>190.5</v>
      </c>
      <c r="AW277" s="127">
        <f t="shared" si="896"/>
        <v>125.27</v>
      </c>
      <c r="AX277" s="127"/>
      <c r="AY277" s="127"/>
      <c r="AZ277" s="127">
        <f t="shared" si="984"/>
        <v>672.72</v>
      </c>
      <c r="BA277" s="127">
        <f t="shared" si="958"/>
        <v>309.89999999999998</v>
      </c>
      <c r="BB277" s="127">
        <f t="shared" si="985"/>
        <v>0</v>
      </c>
      <c r="BC277" s="127">
        <f t="shared" si="985"/>
        <v>0</v>
      </c>
      <c r="BD277" s="127">
        <f t="shared" si="985"/>
        <v>152.25</v>
      </c>
      <c r="BE277" s="127">
        <f t="shared" si="985"/>
        <v>142.06</v>
      </c>
      <c r="BF277" s="127">
        <f t="shared" si="985"/>
        <v>571.5</v>
      </c>
      <c r="BG277" s="127">
        <f t="shared" si="986"/>
        <v>272.12</v>
      </c>
      <c r="BH277" s="2"/>
      <c r="BI277" s="2"/>
      <c r="BJ277" s="2"/>
      <c r="BK277" s="2"/>
    </row>
    <row r="278" spans="1:64" ht="20.100000000000001" customHeight="1" x14ac:dyDescent="0.3">
      <c r="A278" s="15">
        <v>3</v>
      </c>
      <c r="B278" s="16" t="s">
        <v>203</v>
      </c>
      <c r="C278" s="17">
        <v>752</v>
      </c>
      <c r="D278" s="17">
        <v>529</v>
      </c>
      <c r="E278" s="19" t="e">
        <f>C278+D278+#REF!+#REF!</f>
        <v>#REF!</v>
      </c>
      <c r="F278" s="17">
        <v>0</v>
      </c>
      <c r="G278" s="28">
        <v>0</v>
      </c>
      <c r="H278" s="19" t="e">
        <f>F278+G278+#REF!</f>
        <v>#REF!</v>
      </c>
      <c r="I278" s="17">
        <v>179</v>
      </c>
      <c r="J278" s="17">
        <v>205</v>
      </c>
      <c r="K278" s="19">
        <f t="shared" si="1014"/>
        <v>384</v>
      </c>
      <c r="L278" s="28">
        <v>94</v>
      </c>
      <c r="M278" s="28">
        <v>62</v>
      </c>
      <c r="N278" s="19">
        <f t="shared" si="972"/>
        <v>156</v>
      </c>
      <c r="O278" s="19">
        <f t="shared" si="1015"/>
        <v>1025</v>
      </c>
      <c r="P278" s="20">
        <f t="shared" si="1016"/>
        <v>796</v>
      </c>
      <c r="Q278" s="19">
        <f t="shared" si="957"/>
        <v>1821</v>
      </c>
      <c r="R278" s="17">
        <f t="shared" si="1022"/>
        <v>188</v>
      </c>
      <c r="S278" s="17">
        <f t="shared" si="968"/>
        <v>79.349999999999994</v>
      </c>
      <c r="T278" s="17">
        <f t="shared" si="1018"/>
        <v>0</v>
      </c>
      <c r="U278" s="17">
        <f t="shared" si="969"/>
        <v>0</v>
      </c>
      <c r="V278" s="17">
        <f t="shared" si="1019"/>
        <v>44.75</v>
      </c>
      <c r="W278" s="17">
        <f t="shared" si="970"/>
        <v>30.75</v>
      </c>
      <c r="X278" s="17">
        <f t="shared" si="1020"/>
        <v>23.5</v>
      </c>
      <c r="Y278" s="113">
        <f t="shared" si="971"/>
        <v>9.3000000000000007</v>
      </c>
      <c r="Z278" s="127">
        <f t="shared" ref="Z278:Z287" si="1032">ROUND(C278*20.03%,2)+0.03</f>
        <v>150.66</v>
      </c>
      <c r="AA278" s="127">
        <f t="shared" si="1023"/>
        <v>38.090000000000003</v>
      </c>
      <c r="AB278" s="127">
        <f t="shared" si="1024"/>
        <v>0</v>
      </c>
      <c r="AC278" s="127">
        <f t="shared" si="1025"/>
        <v>0</v>
      </c>
      <c r="AD278" s="127">
        <f t="shared" si="1026"/>
        <v>28.64</v>
      </c>
      <c r="AE278" s="127">
        <f t="shared" ref="AE278:AE285" si="1033">ROUND(J278*4.43%,2)+0.01</f>
        <v>9.09</v>
      </c>
      <c r="AF278" s="127">
        <v>0</v>
      </c>
      <c r="AG278" s="127">
        <v>0</v>
      </c>
      <c r="AH278" s="127">
        <f>ROUND(C278*4.97%,2)-0.05</f>
        <v>37.32</v>
      </c>
      <c r="AI278" s="127">
        <f t="shared" si="1027"/>
        <v>56.360000000000007</v>
      </c>
      <c r="AJ278" s="127">
        <v>0</v>
      </c>
      <c r="AK278" s="127">
        <f t="shared" si="1028"/>
        <v>0</v>
      </c>
      <c r="AL278" s="127">
        <f t="shared" si="1021"/>
        <v>16.11</v>
      </c>
      <c r="AM278" s="127">
        <f t="shared" ref="AM278:AM279" si="1034">ROUND(J278*13%,2)+0.9</f>
        <v>27.549999999999997</v>
      </c>
      <c r="AN278" s="127">
        <f t="shared" si="887"/>
        <v>23.5</v>
      </c>
      <c r="AO278" s="127">
        <f t="shared" si="888"/>
        <v>11.16</v>
      </c>
      <c r="AP278" s="127">
        <f t="shared" si="1029"/>
        <v>187.99</v>
      </c>
      <c r="AQ278" s="127">
        <f t="shared" si="890"/>
        <v>148.91</v>
      </c>
      <c r="AR278" s="127">
        <f t="shared" si="1030"/>
        <v>0</v>
      </c>
      <c r="AS278" s="127">
        <f t="shared" si="1031"/>
        <v>0</v>
      </c>
      <c r="AT278" s="127">
        <f t="shared" si="893"/>
        <v>44.75</v>
      </c>
      <c r="AU278" s="127">
        <f t="shared" si="894"/>
        <v>57.71</v>
      </c>
      <c r="AV278" s="127">
        <f t="shared" si="895"/>
        <v>23.5</v>
      </c>
      <c r="AW278" s="127">
        <f t="shared" si="896"/>
        <v>17.45</v>
      </c>
      <c r="AX278" s="127"/>
      <c r="AY278" s="127"/>
      <c r="AZ278" s="127">
        <f t="shared" si="984"/>
        <v>563.97</v>
      </c>
      <c r="BA278" s="127">
        <f t="shared" si="958"/>
        <v>322.71000000000004</v>
      </c>
      <c r="BB278" s="127">
        <f t="shared" si="985"/>
        <v>0</v>
      </c>
      <c r="BC278" s="127">
        <f t="shared" si="985"/>
        <v>0</v>
      </c>
      <c r="BD278" s="127">
        <f t="shared" si="985"/>
        <v>134.25</v>
      </c>
      <c r="BE278" s="127">
        <f t="shared" si="985"/>
        <v>125.1</v>
      </c>
      <c r="BF278" s="127">
        <f t="shared" si="985"/>
        <v>70.5</v>
      </c>
      <c r="BG278" s="127">
        <f t="shared" si="986"/>
        <v>37.909999999999997</v>
      </c>
      <c r="BH278" s="2"/>
      <c r="BI278" s="2"/>
      <c r="BJ278" s="2"/>
      <c r="BK278" s="2"/>
      <c r="BL278" s="1">
        <f>2333.7/11649*100</f>
        <v>20.033479268606747</v>
      </c>
    </row>
    <row r="279" spans="1:64" ht="20.100000000000001" customHeight="1" x14ac:dyDescent="0.3">
      <c r="A279" s="15">
        <v>4</v>
      </c>
      <c r="B279" s="16" t="s">
        <v>204</v>
      </c>
      <c r="C279" s="17">
        <v>857</v>
      </c>
      <c r="D279" s="17">
        <v>581</v>
      </c>
      <c r="E279" s="19" t="e">
        <f>C279+D279+#REF!+#REF!</f>
        <v>#REF!</v>
      </c>
      <c r="F279" s="17">
        <v>0</v>
      </c>
      <c r="G279" s="28">
        <v>0</v>
      </c>
      <c r="H279" s="19" t="e">
        <f>F279+G279+#REF!</f>
        <v>#REF!</v>
      </c>
      <c r="I279" s="17">
        <v>173</v>
      </c>
      <c r="J279" s="17">
        <v>213</v>
      </c>
      <c r="K279" s="19">
        <f t="shared" si="1014"/>
        <v>386</v>
      </c>
      <c r="L279" s="28">
        <v>400</v>
      </c>
      <c r="M279" s="28">
        <v>705</v>
      </c>
      <c r="N279" s="19">
        <f t="shared" si="972"/>
        <v>1105</v>
      </c>
      <c r="O279" s="19">
        <f t="shared" si="1015"/>
        <v>1430</v>
      </c>
      <c r="P279" s="20">
        <f t="shared" si="1016"/>
        <v>1499</v>
      </c>
      <c r="Q279" s="19">
        <f t="shared" si="957"/>
        <v>2929</v>
      </c>
      <c r="R279" s="17">
        <f t="shared" si="1022"/>
        <v>214.25</v>
      </c>
      <c r="S279" s="17">
        <f t="shared" si="968"/>
        <v>87.15</v>
      </c>
      <c r="T279" s="17">
        <f t="shared" si="1018"/>
        <v>0</v>
      </c>
      <c r="U279" s="17">
        <f t="shared" si="969"/>
        <v>0</v>
      </c>
      <c r="V279" s="17">
        <f t="shared" si="1019"/>
        <v>43.25</v>
      </c>
      <c r="W279" s="17">
        <f t="shared" si="970"/>
        <v>31.95</v>
      </c>
      <c r="X279" s="17">
        <f t="shared" si="1020"/>
        <v>100</v>
      </c>
      <c r="Y279" s="113">
        <f t="shared" si="971"/>
        <v>105.75</v>
      </c>
      <c r="Z279" s="127">
        <f t="shared" si="1032"/>
        <v>171.69</v>
      </c>
      <c r="AA279" s="127">
        <f t="shared" si="1023"/>
        <v>41.83</v>
      </c>
      <c r="AB279" s="127">
        <f t="shared" si="1024"/>
        <v>0</v>
      </c>
      <c r="AC279" s="127">
        <f t="shared" si="1025"/>
        <v>0</v>
      </c>
      <c r="AD279" s="127">
        <f t="shared" si="1026"/>
        <v>27.68</v>
      </c>
      <c r="AE279" s="127">
        <f t="shared" si="1033"/>
        <v>9.4499999999999993</v>
      </c>
      <c r="AF279" s="127">
        <v>0</v>
      </c>
      <c r="AG279" s="127">
        <v>0</v>
      </c>
      <c r="AH279" s="127">
        <f>ROUND(C279*4.97%,2)-0.05</f>
        <v>42.540000000000006</v>
      </c>
      <c r="AI279" s="127">
        <f t="shared" si="1027"/>
        <v>61.900000000000006</v>
      </c>
      <c r="AJ279" s="127">
        <v>0</v>
      </c>
      <c r="AK279" s="127">
        <f t="shared" si="1028"/>
        <v>0</v>
      </c>
      <c r="AL279" s="127">
        <f t="shared" si="1021"/>
        <v>15.57</v>
      </c>
      <c r="AM279" s="127">
        <f t="shared" si="1034"/>
        <v>28.59</v>
      </c>
      <c r="AN279" s="127">
        <f t="shared" si="887"/>
        <v>100</v>
      </c>
      <c r="AO279" s="127">
        <f>ROUND(M279*18%,2)-3.31</f>
        <v>123.59</v>
      </c>
      <c r="AP279" s="127">
        <f t="shared" si="1029"/>
        <v>214.24</v>
      </c>
      <c r="AQ279" s="127">
        <f t="shared" si="890"/>
        <v>163.55000000000001</v>
      </c>
      <c r="AR279" s="127">
        <f t="shared" si="1030"/>
        <v>0</v>
      </c>
      <c r="AS279" s="127">
        <f t="shared" si="1031"/>
        <v>0</v>
      </c>
      <c r="AT279" s="127">
        <f t="shared" si="893"/>
        <v>43.25</v>
      </c>
      <c r="AU279" s="127">
        <f t="shared" si="894"/>
        <v>59.96</v>
      </c>
      <c r="AV279" s="127">
        <f t="shared" si="895"/>
        <v>100</v>
      </c>
      <c r="AW279" s="127">
        <f t="shared" si="896"/>
        <v>198.46</v>
      </c>
      <c r="AX279" s="127"/>
      <c r="AY279" s="127"/>
      <c r="AZ279" s="127">
        <f t="shared" si="984"/>
        <v>642.72</v>
      </c>
      <c r="BA279" s="127">
        <f t="shared" si="958"/>
        <v>354.43000000000006</v>
      </c>
      <c r="BB279" s="127">
        <f t="shared" si="985"/>
        <v>0</v>
      </c>
      <c r="BC279" s="127">
        <f t="shared" si="985"/>
        <v>0</v>
      </c>
      <c r="BD279" s="127">
        <f t="shared" si="985"/>
        <v>129.75</v>
      </c>
      <c r="BE279" s="127">
        <f t="shared" si="985"/>
        <v>129.94999999999999</v>
      </c>
      <c r="BF279" s="127">
        <f t="shared" si="985"/>
        <v>300</v>
      </c>
      <c r="BG279" s="127">
        <f t="shared" si="986"/>
        <v>427.8</v>
      </c>
      <c r="BH279" s="2"/>
      <c r="BI279" s="2"/>
      <c r="BJ279" s="2"/>
      <c r="BK279" s="2"/>
    </row>
    <row r="280" spans="1:64" ht="20.100000000000001" customHeight="1" x14ac:dyDescent="0.3">
      <c r="A280" s="15">
        <v>5</v>
      </c>
      <c r="B280" s="16" t="s">
        <v>205</v>
      </c>
      <c r="C280" s="17">
        <v>762</v>
      </c>
      <c r="D280" s="17">
        <v>528</v>
      </c>
      <c r="E280" s="19" t="e">
        <f>C280+D280+#REF!+#REF!</f>
        <v>#REF!</v>
      </c>
      <c r="F280" s="17">
        <v>0</v>
      </c>
      <c r="G280" s="28">
        <v>0</v>
      </c>
      <c r="H280" s="19" t="e">
        <f>F280+G280+#REF!</f>
        <v>#REF!</v>
      </c>
      <c r="I280" s="17">
        <v>183</v>
      </c>
      <c r="J280" s="17">
        <v>211</v>
      </c>
      <c r="K280" s="19">
        <f t="shared" si="1014"/>
        <v>394</v>
      </c>
      <c r="L280" s="28">
        <v>51</v>
      </c>
      <c r="M280" s="28">
        <v>37</v>
      </c>
      <c r="N280" s="19">
        <f t="shared" si="972"/>
        <v>88</v>
      </c>
      <c r="O280" s="19">
        <f t="shared" si="1015"/>
        <v>996</v>
      </c>
      <c r="P280" s="20">
        <f t="shared" si="1016"/>
        <v>776</v>
      </c>
      <c r="Q280" s="19">
        <f t="shared" si="957"/>
        <v>1772</v>
      </c>
      <c r="R280" s="17">
        <f t="shared" si="1022"/>
        <v>190.5</v>
      </c>
      <c r="S280" s="17">
        <f t="shared" si="968"/>
        <v>79.2</v>
      </c>
      <c r="T280" s="17">
        <f t="shared" si="1018"/>
        <v>0</v>
      </c>
      <c r="U280" s="17">
        <f t="shared" si="969"/>
        <v>0</v>
      </c>
      <c r="V280" s="17">
        <f t="shared" si="1019"/>
        <v>45.75</v>
      </c>
      <c r="W280" s="17">
        <f t="shared" si="970"/>
        <v>31.65</v>
      </c>
      <c r="X280" s="17">
        <f t="shared" si="1020"/>
        <v>12.75</v>
      </c>
      <c r="Y280" s="113">
        <f t="shared" si="971"/>
        <v>5.55</v>
      </c>
      <c r="Z280" s="127">
        <f t="shared" si="1032"/>
        <v>152.66</v>
      </c>
      <c r="AA280" s="127">
        <f t="shared" si="1023"/>
        <v>38.020000000000003</v>
      </c>
      <c r="AB280" s="127">
        <f t="shared" si="1024"/>
        <v>0</v>
      </c>
      <c r="AC280" s="127">
        <f t="shared" si="1025"/>
        <v>0</v>
      </c>
      <c r="AD280" s="127">
        <f t="shared" si="1026"/>
        <v>29.28</v>
      </c>
      <c r="AE280" s="127">
        <f t="shared" si="1033"/>
        <v>9.36</v>
      </c>
      <c r="AF280" s="127">
        <v>0</v>
      </c>
      <c r="AG280" s="127">
        <v>0</v>
      </c>
      <c r="AH280" s="127">
        <f>ROUND(C280*4.97%,2)-0.04</f>
        <v>37.83</v>
      </c>
      <c r="AI280" s="127">
        <f t="shared" si="1027"/>
        <v>56.25</v>
      </c>
      <c r="AJ280" s="127">
        <v>0</v>
      </c>
      <c r="AK280" s="127">
        <f t="shared" si="1028"/>
        <v>0</v>
      </c>
      <c r="AL280" s="127">
        <f t="shared" si="1021"/>
        <v>16.47</v>
      </c>
      <c r="AM280" s="127">
        <f t="shared" ref="AM280:AM286" si="1035">ROUND(J280*13%,2)+0.88</f>
        <v>28.31</v>
      </c>
      <c r="AN280" s="127">
        <f t="shared" si="887"/>
        <v>12.75</v>
      </c>
      <c r="AO280" s="127">
        <f t="shared" si="888"/>
        <v>6.66</v>
      </c>
      <c r="AP280" s="127">
        <f>ROUND(C280*25%,2)-0.01</f>
        <v>190.49</v>
      </c>
      <c r="AQ280" s="127">
        <f t="shared" si="890"/>
        <v>148.63</v>
      </c>
      <c r="AR280" s="127">
        <f t="shared" si="1030"/>
        <v>0</v>
      </c>
      <c r="AS280" s="127">
        <f t="shared" si="1031"/>
        <v>0</v>
      </c>
      <c r="AT280" s="127">
        <f t="shared" si="893"/>
        <v>45.75</v>
      </c>
      <c r="AU280" s="127">
        <f t="shared" si="894"/>
        <v>59.4</v>
      </c>
      <c r="AV280" s="127">
        <f t="shared" si="895"/>
        <v>12.75</v>
      </c>
      <c r="AW280" s="127">
        <f t="shared" si="896"/>
        <v>10.42</v>
      </c>
      <c r="AX280" s="127"/>
      <c r="AY280" s="127"/>
      <c r="AZ280" s="127">
        <f t="shared" si="984"/>
        <v>571.48</v>
      </c>
      <c r="BA280" s="127">
        <f t="shared" si="958"/>
        <v>322.10000000000002</v>
      </c>
      <c r="BB280" s="127">
        <f t="shared" si="985"/>
        <v>0</v>
      </c>
      <c r="BC280" s="127">
        <f t="shared" si="985"/>
        <v>0</v>
      </c>
      <c r="BD280" s="127">
        <f t="shared" si="985"/>
        <v>137.25</v>
      </c>
      <c r="BE280" s="127">
        <f t="shared" si="985"/>
        <v>128.72</v>
      </c>
      <c r="BF280" s="127">
        <f t="shared" si="985"/>
        <v>38.25</v>
      </c>
      <c r="BG280" s="127">
        <f t="shared" si="986"/>
        <v>22.63</v>
      </c>
      <c r="BH280" s="2"/>
      <c r="BI280" s="2"/>
      <c r="BJ280" s="2"/>
      <c r="BK280" s="2"/>
    </row>
    <row r="281" spans="1:64" ht="20.100000000000001" customHeight="1" x14ac:dyDescent="0.3">
      <c r="A281" s="15">
        <v>6</v>
      </c>
      <c r="B281" s="16" t="s">
        <v>206</v>
      </c>
      <c r="C281" s="25">
        <v>754</v>
      </c>
      <c r="D281" s="25">
        <v>390</v>
      </c>
      <c r="E281" s="19" t="e">
        <f>C281+D281+#REF!+#REF!</f>
        <v>#REF!</v>
      </c>
      <c r="F281" s="17">
        <v>0</v>
      </c>
      <c r="G281" s="28">
        <v>0</v>
      </c>
      <c r="H281" s="19" t="e">
        <f>F281+G281+#REF!</f>
        <v>#REF!</v>
      </c>
      <c r="I281" s="17">
        <v>170</v>
      </c>
      <c r="J281" s="17">
        <v>194</v>
      </c>
      <c r="K281" s="19">
        <f t="shared" si="1014"/>
        <v>364</v>
      </c>
      <c r="L281" s="28">
        <v>1047</v>
      </c>
      <c r="M281" s="28">
        <v>645</v>
      </c>
      <c r="N281" s="19">
        <f t="shared" si="972"/>
        <v>1692</v>
      </c>
      <c r="O281" s="19">
        <f t="shared" si="1015"/>
        <v>1971</v>
      </c>
      <c r="P281" s="20">
        <f t="shared" si="1016"/>
        <v>1229</v>
      </c>
      <c r="Q281" s="19">
        <f t="shared" si="957"/>
        <v>3200</v>
      </c>
      <c r="R281" s="17">
        <f t="shared" si="1022"/>
        <v>188.5</v>
      </c>
      <c r="S281" s="17">
        <f t="shared" si="968"/>
        <v>58.5</v>
      </c>
      <c r="T281" s="17">
        <f t="shared" si="1018"/>
        <v>0</v>
      </c>
      <c r="U281" s="17">
        <f t="shared" si="969"/>
        <v>0</v>
      </c>
      <c r="V281" s="17">
        <f t="shared" si="1019"/>
        <v>42.5</v>
      </c>
      <c r="W281" s="17">
        <f t="shared" si="970"/>
        <v>29.1</v>
      </c>
      <c r="X281" s="17">
        <f t="shared" si="1020"/>
        <v>261.75</v>
      </c>
      <c r="Y281" s="113">
        <f t="shared" si="971"/>
        <v>96.75</v>
      </c>
      <c r="Z281" s="127">
        <f t="shared" si="1032"/>
        <v>151.06</v>
      </c>
      <c r="AA281" s="127">
        <f t="shared" si="1023"/>
        <v>28.08</v>
      </c>
      <c r="AB281" s="127">
        <f t="shared" si="1024"/>
        <v>0</v>
      </c>
      <c r="AC281" s="127">
        <f t="shared" si="1025"/>
        <v>0</v>
      </c>
      <c r="AD281" s="127">
        <f t="shared" si="1026"/>
        <v>27.2</v>
      </c>
      <c r="AE281" s="127">
        <f t="shared" si="1033"/>
        <v>8.6</v>
      </c>
      <c r="AF281" s="127">
        <v>0</v>
      </c>
      <c r="AG281" s="127">
        <v>0</v>
      </c>
      <c r="AH281" s="127">
        <f>ROUND(C281*4.97%,2)-0.04</f>
        <v>37.43</v>
      </c>
      <c r="AI281" s="127">
        <f t="shared" si="1027"/>
        <v>41.56</v>
      </c>
      <c r="AJ281" s="127">
        <v>0</v>
      </c>
      <c r="AK281" s="127">
        <f t="shared" si="1028"/>
        <v>0</v>
      </c>
      <c r="AL281" s="127">
        <f t="shared" si="1021"/>
        <v>15.3</v>
      </c>
      <c r="AM281" s="127">
        <f t="shared" si="1035"/>
        <v>26.099999999999998</v>
      </c>
      <c r="AN281" s="127">
        <f t="shared" si="887"/>
        <v>261.75</v>
      </c>
      <c r="AO281" s="127">
        <f t="shared" si="888"/>
        <v>116.1</v>
      </c>
      <c r="AP281" s="127">
        <f t="shared" si="889"/>
        <v>188.5</v>
      </c>
      <c r="AQ281" s="127">
        <f t="shared" si="890"/>
        <v>109.79</v>
      </c>
      <c r="AR281" s="127">
        <f t="shared" si="1030"/>
        <v>0</v>
      </c>
      <c r="AS281" s="127">
        <f t="shared" si="1031"/>
        <v>0</v>
      </c>
      <c r="AT281" s="127">
        <f t="shared" si="893"/>
        <v>42.5</v>
      </c>
      <c r="AU281" s="127">
        <f t="shared" si="894"/>
        <v>54.61</v>
      </c>
      <c r="AV281" s="127">
        <f t="shared" si="895"/>
        <v>261.75</v>
      </c>
      <c r="AW281" s="127">
        <f t="shared" si="896"/>
        <v>181.57</v>
      </c>
      <c r="AX281" s="127"/>
      <c r="AY281" s="127"/>
      <c r="AZ281" s="127">
        <f t="shared" si="984"/>
        <v>565.49</v>
      </c>
      <c r="BA281" s="127">
        <f t="shared" si="958"/>
        <v>237.93</v>
      </c>
      <c r="BB281" s="127">
        <f t="shared" si="985"/>
        <v>0</v>
      </c>
      <c r="BC281" s="127">
        <f t="shared" si="985"/>
        <v>0</v>
      </c>
      <c r="BD281" s="127">
        <f t="shared" si="985"/>
        <v>127.5</v>
      </c>
      <c r="BE281" s="127">
        <f t="shared" si="985"/>
        <v>118.41</v>
      </c>
      <c r="BF281" s="127">
        <f t="shared" si="985"/>
        <v>785.25</v>
      </c>
      <c r="BG281" s="127">
        <f t="shared" si="986"/>
        <v>394.41999999999996</v>
      </c>
      <c r="BH281" s="2"/>
      <c r="BI281" s="2"/>
      <c r="BJ281" s="2"/>
      <c r="BK281" s="2"/>
    </row>
    <row r="282" spans="1:64" ht="20.100000000000001" customHeight="1" x14ac:dyDescent="0.3">
      <c r="A282" s="23">
        <v>7</v>
      </c>
      <c r="B282" s="24" t="s">
        <v>207</v>
      </c>
      <c r="C282" s="17">
        <v>531</v>
      </c>
      <c r="D282" s="17">
        <v>439</v>
      </c>
      <c r="E282" s="19" t="e">
        <f>C282+D282+#REF!+#REF!</f>
        <v>#REF!</v>
      </c>
      <c r="F282" s="17">
        <v>557</v>
      </c>
      <c r="G282" s="28">
        <v>1854</v>
      </c>
      <c r="H282" s="19" t="e">
        <f>F282+G282+#REF!</f>
        <v>#REF!</v>
      </c>
      <c r="I282" s="17">
        <v>161</v>
      </c>
      <c r="J282" s="17">
        <v>166</v>
      </c>
      <c r="K282" s="19">
        <f t="shared" si="1014"/>
        <v>327</v>
      </c>
      <c r="L282" s="28">
        <v>384</v>
      </c>
      <c r="M282" s="28">
        <v>0</v>
      </c>
      <c r="N282" s="19">
        <f t="shared" si="972"/>
        <v>384</v>
      </c>
      <c r="O282" s="19">
        <f t="shared" si="1015"/>
        <v>1633</v>
      </c>
      <c r="P282" s="20">
        <f t="shared" si="1016"/>
        <v>2459</v>
      </c>
      <c r="Q282" s="19">
        <f t="shared" si="957"/>
        <v>4092</v>
      </c>
      <c r="R282" s="17">
        <f t="shared" si="1022"/>
        <v>132.75</v>
      </c>
      <c r="S282" s="17">
        <f t="shared" si="968"/>
        <v>65.849999999999994</v>
      </c>
      <c r="T282" s="17">
        <f t="shared" si="1018"/>
        <v>139.25</v>
      </c>
      <c r="U282" s="17">
        <f t="shared" si="969"/>
        <v>278.10000000000002</v>
      </c>
      <c r="V282" s="17">
        <f t="shared" si="1019"/>
        <v>40.25</v>
      </c>
      <c r="W282" s="17">
        <f t="shared" si="970"/>
        <v>24.9</v>
      </c>
      <c r="X282" s="17">
        <f t="shared" si="1020"/>
        <v>96</v>
      </c>
      <c r="Y282" s="113">
        <f t="shared" si="971"/>
        <v>0</v>
      </c>
      <c r="Z282" s="127">
        <f t="shared" si="1032"/>
        <v>106.39</v>
      </c>
      <c r="AA282" s="127">
        <f t="shared" si="1023"/>
        <v>31.61</v>
      </c>
      <c r="AB282" s="127">
        <f>ROUND(F282*25.17%,2)-0.03</f>
        <v>140.16999999999999</v>
      </c>
      <c r="AC282" s="127">
        <f>ROUND(G282*4.43%,2)+0.07</f>
        <v>82.199999999999989</v>
      </c>
      <c r="AD282" s="127">
        <f t="shared" si="1026"/>
        <v>25.76</v>
      </c>
      <c r="AE282" s="127">
        <f t="shared" si="1033"/>
        <v>7.3599999999999994</v>
      </c>
      <c r="AF282" s="127">
        <v>0</v>
      </c>
      <c r="AG282" s="127">
        <v>0</v>
      </c>
      <c r="AH282" s="127">
        <f t="shared" ref="AH282:AH287" si="1036">ROUND(C282*4.97%,2)</f>
        <v>26.39</v>
      </c>
      <c r="AI282" s="127">
        <f t="shared" si="1027"/>
        <v>46.77</v>
      </c>
      <c r="AJ282" s="127">
        <v>0</v>
      </c>
      <c r="AK282" s="127">
        <f>ROUND(G282*13%,2)+6</f>
        <v>247.02</v>
      </c>
      <c r="AL282" s="127">
        <f t="shared" si="1021"/>
        <v>14.49</v>
      </c>
      <c r="AM282" s="127">
        <f t="shared" si="1035"/>
        <v>22.459999999999997</v>
      </c>
      <c r="AN282" s="127">
        <f t="shared" si="887"/>
        <v>96</v>
      </c>
      <c r="AO282" s="127">
        <f t="shared" si="888"/>
        <v>0</v>
      </c>
      <c r="AP282" s="127">
        <f t="shared" si="889"/>
        <v>132.75</v>
      </c>
      <c r="AQ282" s="127">
        <f t="shared" si="890"/>
        <v>123.58</v>
      </c>
      <c r="AR282" s="127">
        <f>ROUND(F282*24.83%,2)+0.02</f>
        <v>138.32000000000002</v>
      </c>
      <c r="AS282" s="127">
        <f>ROUND(G282*28.2%,2)+0.03</f>
        <v>522.86</v>
      </c>
      <c r="AT282" s="127">
        <f t="shared" si="893"/>
        <v>40.25</v>
      </c>
      <c r="AU282" s="127">
        <f t="shared" si="894"/>
        <v>46.73</v>
      </c>
      <c r="AV282" s="127">
        <f t="shared" si="895"/>
        <v>96</v>
      </c>
      <c r="AW282" s="127">
        <f t="shared" si="896"/>
        <v>0</v>
      </c>
      <c r="AX282" s="127"/>
      <c r="AY282" s="127"/>
      <c r="AZ282" s="127">
        <f t="shared" si="984"/>
        <v>398.28</v>
      </c>
      <c r="BA282" s="127">
        <f t="shared" si="958"/>
        <v>267.80999999999995</v>
      </c>
      <c r="BB282" s="127">
        <f t="shared" si="985"/>
        <v>417.74</v>
      </c>
      <c r="BC282" s="127">
        <f t="shared" si="985"/>
        <v>1130.1799999999998</v>
      </c>
      <c r="BD282" s="127">
        <f t="shared" si="985"/>
        <v>120.75</v>
      </c>
      <c r="BE282" s="127">
        <f t="shared" si="985"/>
        <v>101.44999999999999</v>
      </c>
      <c r="BF282" s="127">
        <f t="shared" si="985"/>
        <v>288</v>
      </c>
      <c r="BG282" s="127">
        <f t="shared" si="986"/>
        <v>0</v>
      </c>
      <c r="BH282" s="2"/>
      <c r="BI282" s="2"/>
      <c r="BJ282" s="2"/>
      <c r="BK282" s="2"/>
    </row>
    <row r="283" spans="1:64" ht="20.100000000000001" customHeight="1" x14ac:dyDescent="0.3">
      <c r="A283" s="15">
        <v>8</v>
      </c>
      <c r="B283" s="16" t="s">
        <v>208</v>
      </c>
      <c r="C283" s="17">
        <v>510</v>
      </c>
      <c r="D283" s="17">
        <v>468</v>
      </c>
      <c r="E283" s="19" t="e">
        <f>C283+D283+#REF!+#REF!</f>
        <v>#REF!</v>
      </c>
      <c r="F283" s="17">
        <v>534</v>
      </c>
      <c r="G283" s="28">
        <v>1645</v>
      </c>
      <c r="H283" s="19" t="e">
        <f>F283+G283+#REF!</f>
        <v>#REF!</v>
      </c>
      <c r="I283" s="17">
        <v>122</v>
      </c>
      <c r="J283" s="17">
        <v>142</v>
      </c>
      <c r="K283" s="19">
        <f t="shared" si="1014"/>
        <v>264</v>
      </c>
      <c r="L283" s="28">
        <v>0</v>
      </c>
      <c r="M283" s="28">
        <v>0</v>
      </c>
      <c r="N283" s="19">
        <f t="shared" si="972"/>
        <v>0</v>
      </c>
      <c r="O283" s="19">
        <f t="shared" si="1015"/>
        <v>1166</v>
      </c>
      <c r="P283" s="20">
        <f t="shared" si="1016"/>
        <v>2255</v>
      </c>
      <c r="Q283" s="19">
        <f t="shared" si="957"/>
        <v>3421</v>
      </c>
      <c r="R283" s="17">
        <f t="shared" si="1022"/>
        <v>127.5</v>
      </c>
      <c r="S283" s="17">
        <f t="shared" si="968"/>
        <v>70.2</v>
      </c>
      <c r="T283" s="17">
        <f t="shared" si="1018"/>
        <v>133.5</v>
      </c>
      <c r="U283" s="17">
        <f t="shared" si="969"/>
        <v>246.75</v>
      </c>
      <c r="V283" s="17">
        <f t="shared" si="1019"/>
        <v>30.5</v>
      </c>
      <c r="W283" s="17">
        <f t="shared" si="970"/>
        <v>21.3</v>
      </c>
      <c r="X283" s="17">
        <f t="shared" si="1020"/>
        <v>0</v>
      </c>
      <c r="Y283" s="113">
        <f t="shared" si="971"/>
        <v>0</v>
      </c>
      <c r="Z283" s="127">
        <f>ROUND(C283*20.03%,2)+0.05</f>
        <v>102.2</v>
      </c>
      <c r="AA283" s="127">
        <f t="shared" si="1023"/>
        <v>33.700000000000003</v>
      </c>
      <c r="AB283" s="127">
        <f>ROUND(F283*25.17%,2)-0.02</f>
        <v>134.38999999999999</v>
      </c>
      <c r="AC283" s="127">
        <f>ROUND(G283*4.43%,2)+0.07</f>
        <v>72.94</v>
      </c>
      <c r="AD283" s="127">
        <f t="shared" si="1026"/>
        <v>19.52</v>
      </c>
      <c r="AE283" s="127">
        <f t="shared" si="1033"/>
        <v>6.3</v>
      </c>
      <c r="AF283" s="127">
        <v>0</v>
      </c>
      <c r="AG283" s="127">
        <v>0</v>
      </c>
      <c r="AH283" s="127">
        <f t="shared" si="1036"/>
        <v>25.35</v>
      </c>
      <c r="AI283" s="127">
        <f t="shared" ref="AI283:AI303" si="1037">ROUND(D283*10.65%,2)</f>
        <v>49.84</v>
      </c>
      <c r="AJ283" s="127">
        <v>0</v>
      </c>
      <c r="AK283" s="127">
        <f>ROUND(G283*13%,2)+6.75</f>
        <v>220.6</v>
      </c>
      <c r="AL283" s="127">
        <f t="shared" si="1021"/>
        <v>10.98</v>
      </c>
      <c r="AM283" s="127">
        <f t="shared" si="1035"/>
        <v>19.34</v>
      </c>
      <c r="AN283" s="127">
        <f t="shared" ref="AN283:AN306" si="1038">ROUND(L283*25%,2)</f>
        <v>0</v>
      </c>
      <c r="AO283" s="127">
        <f t="shared" ref="AO283:AO306" si="1039">ROUND(M283*18%,2)</f>
        <v>0</v>
      </c>
      <c r="AP283" s="127">
        <f t="shared" ref="AP283:AP303" si="1040">ROUND(C283*25%,2)</f>
        <v>127.5</v>
      </c>
      <c r="AQ283" s="127">
        <f t="shared" ref="AQ283:AQ303" si="1041">ROUND(D283*28.15%,2)</f>
        <v>131.74</v>
      </c>
      <c r="AR283" s="127">
        <f>ROUND(F283*24.83%,2)+0.03</f>
        <v>132.62</v>
      </c>
      <c r="AS283" s="127">
        <f>ROUND(G283*28.2%,2)+0.03</f>
        <v>463.91999999999996</v>
      </c>
      <c r="AT283" s="127">
        <f t="shared" ref="AT283:AT304" si="1042">ROUND(I283*25%,2)</f>
        <v>30.5</v>
      </c>
      <c r="AU283" s="127">
        <f t="shared" ref="AU283:AU304" si="1043">ROUND(J283*28.15%,2)</f>
        <v>39.97</v>
      </c>
      <c r="AV283" s="127">
        <f t="shared" ref="AV283:AV304" si="1044">ROUND(L283*25%,2)</f>
        <v>0</v>
      </c>
      <c r="AW283" s="127">
        <f t="shared" ref="AW283:AW304" si="1045">ROUND(M283*28.15%,2)</f>
        <v>0</v>
      </c>
      <c r="AX283" s="127"/>
      <c r="AY283" s="127"/>
      <c r="AZ283" s="127">
        <f t="shared" si="984"/>
        <v>382.55</v>
      </c>
      <c r="BA283" s="127">
        <f t="shared" si="958"/>
        <v>285.48</v>
      </c>
      <c r="BB283" s="127">
        <f t="shared" si="985"/>
        <v>400.51</v>
      </c>
      <c r="BC283" s="127">
        <f t="shared" si="985"/>
        <v>1004.21</v>
      </c>
      <c r="BD283" s="127">
        <f t="shared" si="985"/>
        <v>91.5</v>
      </c>
      <c r="BE283" s="127">
        <f t="shared" si="985"/>
        <v>86.91</v>
      </c>
      <c r="BF283" s="127">
        <f t="shared" si="985"/>
        <v>0</v>
      </c>
      <c r="BG283" s="127">
        <f t="shared" si="986"/>
        <v>0</v>
      </c>
      <c r="BH283" s="2"/>
      <c r="BI283" s="2"/>
      <c r="BJ283" s="2"/>
      <c r="BK283" s="2"/>
    </row>
    <row r="284" spans="1:64" ht="20.100000000000001" customHeight="1" x14ac:dyDescent="0.3">
      <c r="A284" s="15">
        <v>9</v>
      </c>
      <c r="B284" s="16" t="s">
        <v>209</v>
      </c>
      <c r="C284" s="17">
        <v>965</v>
      </c>
      <c r="D284" s="17">
        <v>657</v>
      </c>
      <c r="E284" s="19" t="e">
        <f>C284+D284+#REF!+#REF!</f>
        <v>#REF!</v>
      </c>
      <c r="F284" s="17">
        <v>0</v>
      </c>
      <c r="G284" s="28">
        <v>0</v>
      </c>
      <c r="H284" s="19" t="e">
        <f>F284+G284+#REF!</f>
        <v>#REF!</v>
      </c>
      <c r="I284" s="17">
        <v>229</v>
      </c>
      <c r="J284" s="17">
        <v>261</v>
      </c>
      <c r="K284" s="19">
        <f t="shared" si="1014"/>
        <v>490</v>
      </c>
      <c r="L284" s="28">
        <v>0</v>
      </c>
      <c r="M284" s="28">
        <v>0</v>
      </c>
      <c r="N284" s="19">
        <f t="shared" si="972"/>
        <v>0</v>
      </c>
      <c r="O284" s="19">
        <f t="shared" si="1015"/>
        <v>1194</v>
      </c>
      <c r="P284" s="20">
        <f t="shared" si="1016"/>
        <v>918</v>
      </c>
      <c r="Q284" s="19">
        <f t="shared" si="957"/>
        <v>2112</v>
      </c>
      <c r="R284" s="17">
        <f t="shared" si="1022"/>
        <v>241.25</v>
      </c>
      <c r="S284" s="17">
        <f t="shared" si="968"/>
        <v>98.55</v>
      </c>
      <c r="T284" s="17">
        <f t="shared" si="1018"/>
        <v>0</v>
      </c>
      <c r="U284" s="17">
        <f t="shared" si="969"/>
        <v>0</v>
      </c>
      <c r="V284" s="17">
        <f t="shared" si="1019"/>
        <v>57.25</v>
      </c>
      <c r="W284" s="17">
        <f t="shared" si="970"/>
        <v>39.15</v>
      </c>
      <c r="X284" s="17">
        <f t="shared" si="1020"/>
        <v>0</v>
      </c>
      <c r="Y284" s="113">
        <f t="shared" si="971"/>
        <v>0</v>
      </c>
      <c r="Z284" s="127">
        <f t="shared" si="1032"/>
        <v>193.32</v>
      </c>
      <c r="AA284" s="127">
        <f t="shared" si="1023"/>
        <v>47.3</v>
      </c>
      <c r="AB284" s="127">
        <f t="shared" si="1024"/>
        <v>0</v>
      </c>
      <c r="AC284" s="127">
        <f t="shared" si="1025"/>
        <v>0</v>
      </c>
      <c r="AD284" s="127">
        <f t="shared" si="1026"/>
        <v>36.64</v>
      </c>
      <c r="AE284" s="127">
        <f t="shared" si="1033"/>
        <v>11.57</v>
      </c>
      <c r="AF284" s="127">
        <v>0</v>
      </c>
      <c r="AG284" s="127">
        <v>0</v>
      </c>
      <c r="AH284" s="127">
        <f t="shared" si="1036"/>
        <v>47.96</v>
      </c>
      <c r="AI284" s="127">
        <f t="shared" si="1037"/>
        <v>69.97</v>
      </c>
      <c r="AJ284" s="127">
        <v>0</v>
      </c>
      <c r="AK284" s="127">
        <f t="shared" si="1028"/>
        <v>0</v>
      </c>
      <c r="AL284" s="127">
        <f t="shared" si="1021"/>
        <v>20.61</v>
      </c>
      <c r="AM284" s="127">
        <f t="shared" si="1035"/>
        <v>34.81</v>
      </c>
      <c r="AN284" s="127">
        <f t="shared" si="1038"/>
        <v>0</v>
      </c>
      <c r="AO284" s="127">
        <f t="shared" si="1039"/>
        <v>0</v>
      </c>
      <c r="AP284" s="127">
        <f t="shared" si="1040"/>
        <v>241.25</v>
      </c>
      <c r="AQ284" s="127">
        <f t="shared" si="1041"/>
        <v>184.95</v>
      </c>
      <c r="AR284" s="127">
        <f t="shared" si="1030"/>
        <v>0</v>
      </c>
      <c r="AS284" s="127">
        <f t="shared" si="1031"/>
        <v>0</v>
      </c>
      <c r="AT284" s="127">
        <f t="shared" si="1042"/>
        <v>57.25</v>
      </c>
      <c r="AU284" s="127">
        <f t="shared" si="1043"/>
        <v>73.47</v>
      </c>
      <c r="AV284" s="127">
        <f t="shared" si="1044"/>
        <v>0</v>
      </c>
      <c r="AW284" s="127">
        <f t="shared" si="1045"/>
        <v>0</v>
      </c>
      <c r="AX284" s="127"/>
      <c r="AY284" s="127"/>
      <c r="AZ284" s="127">
        <f t="shared" si="984"/>
        <v>723.78</v>
      </c>
      <c r="BA284" s="127">
        <f t="shared" si="958"/>
        <v>400.77</v>
      </c>
      <c r="BB284" s="127">
        <f t="shared" si="985"/>
        <v>0</v>
      </c>
      <c r="BC284" s="127">
        <f t="shared" si="985"/>
        <v>0</v>
      </c>
      <c r="BD284" s="127">
        <f t="shared" si="985"/>
        <v>171.75</v>
      </c>
      <c r="BE284" s="127">
        <f t="shared" si="985"/>
        <v>159</v>
      </c>
      <c r="BF284" s="127">
        <f t="shared" si="985"/>
        <v>0</v>
      </c>
      <c r="BG284" s="127">
        <f t="shared" si="986"/>
        <v>0</v>
      </c>
      <c r="BH284" s="2"/>
      <c r="BI284" s="2"/>
      <c r="BJ284" s="2"/>
      <c r="BK284" s="2"/>
    </row>
    <row r="285" spans="1:64" ht="20.100000000000001" customHeight="1" x14ac:dyDescent="0.3">
      <c r="A285" s="15">
        <v>10</v>
      </c>
      <c r="B285" s="16" t="s">
        <v>210</v>
      </c>
      <c r="C285" s="17">
        <v>1023</v>
      </c>
      <c r="D285" s="17">
        <v>640</v>
      </c>
      <c r="E285" s="19" t="e">
        <f>C285+D285+#REF!+#REF!</f>
        <v>#REF!</v>
      </c>
      <c r="F285" s="17">
        <v>0</v>
      </c>
      <c r="G285" s="28">
        <v>0</v>
      </c>
      <c r="H285" s="19" t="e">
        <f>F285+G285+#REF!</f>
        <v>#REF!</v>
      </c>
      <c r="I285" s="17">
        <v>218</v>
      </c>
      <c r="J285" s="17">
        <v>258</v>
      </c>
      <c r="K285" s="19">
        <f t="shared" si="1014"/>
        <v>476</v>
      </c>
      <c r="L285" s="28">
        <v>0</v>
      </c>
      <c r="M285" s="28">
        <v>0</v>
      </c>
      <c r="N285" s="19">
        <f t="shared" si="972"/>
        <v>0</v>
      </c>
      <c r="O285" s="19">
        <f t="shared" si="1015"/>
        <v>1241</v>
      </c>
      <c r="P285" s="20">
        <f t="shared" si="1016"/>
        <v>898</v>
      </c>
      <c r="Q285" s="19">
        <f t="shared" si="957"/>
        <v>2139</v>
      </c>
      <c r="R285" s="17">
        <f t="shared" si="1022"/>
        <v>255.75</v>
      </c>
      <c r="S285" s="17">
        <f t="shared" si="968"/>
        <v>96</v>
      </c>
      <c r="T285" s="17">
        <f t="shared" si="1018"/>
        <v>0</v>
      </c>
      <c r="U285" s="17">
        <f t="shared" si="969"/>
        <v>0</v>
      </c>
      <c r="V285" s="17">
        <f t="shared" si="1019"/>
        <v>54.5</v>
      </c>
      <c r="W285" s="17">
        <f t="shared" si="970"/>
        <v>38.700000000000003</v>
      </c>
      <c r="X285" s="17">
        <f t="shared" si="1020"/>
        <v>0</v>
      </c>
      <c r="Y285" s="113">
        <f t="shared" si="971"/>
        <v>0</v>
      </c>
      <c r="Z285" s="127">
        <f t="shared" si="1032"/>
        <v>204.94</v>
      </c>
      <c r="AA285" s="127">
        <f t="shared" si="1023"/>
        <v>46.08</v>
      </c>
      <c r="AB285" s="127">
        <f t="shared" si="1024"/>
        <v>0</v>
      </c>
      <c r="AC285" s="127">
        <f t="shared" si="1025"/>
        <v>0</v>
      </c>
      <c r="AD285" s="127">
        <f t="shared" si="1026"/>
        <v>34.880000000000003</v>
      </c>
      <c r="AE285" s="127">
        <f t="shared" si="1033"/>
        <v>11.44</v>
      </c>
      <c r="AF285" s="127">
        <v>0</v>
      </c>
      <c r="AG285" s="127">
        <v>0</v>
      </c>
      <c r="AH285" s="127">
        <f t="shared" si="1036"/>
        <v>50.84</v>
      </c>
      <c r="AI285" s="127">
        <f t="shared" si="1037"/>
        <v>68.16</v>
      </c>
      <c r="AJ285" s="127">
        <v>0</v>
      </c>
      <c r="AK285" s="127">
        <f t="shared" si="1028"/>
        <v>0</v>
      </c>
      <c r="AL285" s="127">
        <f t="shared" si="1021"/>
        <v>19.62</v>
      </c>
      <c r="AM285" s="127">
        <f t="shared" si="1035"/>
        <v>34.42</v>
      </c>
      <c r="AN285" s="127">
        <f t="shared" si="1038"/>
        <v>0</v>
      </c>
      <c r="AO285" s="127">
        <f t="shared" si="1039"/>
        <v>0</v>
      </c>
      <c r="AP285" s="127">
        <f t="shared" si="1040"/>
        <v>255.75</v>
      </c>
      <c r="AQ285" s="127">
        <f t="shared" si="1041"/>
        <v>180.16</v>
      </c>
      <c r="AR285" s="127">
        <f t="shared" si="1030"/>
        <v>0</v>
      </c>
      <c r="AS285" s="127">
        <f t="shared" si="1031"/>
        <v>0</v>
      </c>
      <c r="AT285" s="127">
        <f t="shared" si="1042"/>
        <v>54.5</v>
      </c>
      <c r="AU285" s="127">
        <f t="shared" si="1043"/>
        <v>72.63</v>
      </c>
      <c r="AV285" s="127">
        <f t="shared" si="1044"/>
        <v>0</v>
      </c>
      <c r="AW285" s="127">
        <f t="shared" si="1045"/>
        <v>0</v>
      </c>
      <c r="AX285" s="127"/>
      <c r="AY285" s="127"/>
      <c r="AZ285" s="127">
        <f t="shared" si="984"/>
        <v>767.28</v>
      </c>
      <c r="BA285" s="127">
        <f t="shared" si="958"/>
        <v>390.4</v>
      </c>
      <c r="BB285" s="127">
        <f t="shared" si="985"/>
        <v>0</v>
      </c>
      <c r="BC285" s="127">
        <f t="shared" si="985"/>
        <v>0</v>
      </c>
      <c r="BD285" s="127">
        <f t="shared" si="985"/>
        <v>163.5</v>
      </c>
      <c r="BE285" s="127">
        <f t="shared" si="985"/>
        <v>157.19</v>
      </c>
      <c r="BF285" s="127">
        <f t="shared" si="985"/>
        <v>0</v>
      </c>
      <c r="BG285" s="127">
        <f t="shared" si="986"/>
        <v>0</v>
      </c>
      <c r="BH285" s="2"/>
      <c r="BI285" s="2"/>
      <c r="BJ285" s="2"/>
      <c r="BK285" s="2"/>
    </row>
    <row r="286" spans="1:64" ht="20.100000000000001" customHeight="1" x14ac:dyDescent="0.3">
      <c r="A286" s="15">
        <v>11</v>
      </c>
      <c r="B286" s="16" t="s">
        <v>211</v>
      </c>
      <c r="C286" s="17">
        <v>926</v>
      </c>
      <c r="D286" s="17">
        <v>649</v>
      </c>
      <c r="E286" s="19" t="e">
        <f>C286+D286+#REF!+#REF!</f>
        <v>#REF!</v>
      </c>
      <c r="F286" s="17">
        <v>0</v>
      </c>
      <c r="G286" s="28">
        <v>0</v>
      </c>
      <c r="H286" s="19" t="e">
        <f>F286+G286+#REF!</f>
        <v>#REF!</v>
      </c>
      <c r="I286" s="17">
        <v>213</v>
      </c>
      <c r="J286" s="17">
        <v>246</v>
      </c>
      <c r="K286" s="19">
        <f t="shared" si="1014"/>
        <v>459</v>
      </c>
      <c r="L286" s="28">
        <v>428</v>
      </c>
      <c r="M286" s="28">
        <v>297</v>
      </c>
      <c r="N286" s="19">
        <f t="shared" si="972"/>
        <v>725</v>
      </c>
      <c r="O286" s="19">
        <f t="shared" si="1015"/>
        <v>1567</v>
      </c>
      <c r="P286" s="20">
        <f t="shared" si="1016"/>
        <v>1192</v>
      </c>
      <c r="Q286" s="19">
        <f t="shared" si="957"/>
        <v>2759</v>
      </c>
      <c r="R286" s="17">
        <f t="shared" si="1022"/>
        <v>231.5</v>
      </c>
      <c r="S286" s="17">
        <f t="shared" si="968"/>
        <v>97.35</v>
      </c>
      <c r="T286" s="17">
        <f t="shared" si="1018"/>
        <v>0</v>
      </c>
      <c r="U286" s="17">
        <f t="shared" si="969"/>
        <v>0</v>
      </c>
      <c r="V286" s="17">
        <f t="shared" si="1019"/>
        <v>53.25</v>
      </c>
      <c r="W286" s="17">
        <f t="shared" si="970"/>
        <v>36.9</v>
      </c>
      <c r="X286" s="17">
        <f t="shared" si="1020"/>
        <v>107</v>
      </c>
      <c r="Y286" s="113">
        <f t="shared" si="971"/>
        <v>44.55</v>
      </c>
      <c r="Z286" s="127">
        <f>ROUND(C286*20.03%,2)+0.06</f>
        <v>185.54</v>
      </c>
      <c r="AA286" s="127">
        <f>ROUND(D286*7.2%,2)-0.01</f>
        <v>46.72</v>
      </c>
      <c r="AB286" s="127">
        <f t="shared" si="1024"/>
        <v>0</v>
      </c>
      <c r="AC286" s="127">
        <f t="shared" si="1025"/>
        <v>0</v>
      </c>
      <c r="AD286" s="127">
        <f t="shared" si="1026"/>
        <v>34.08</v>
      </c>
      <c r="AE286" s="127">
        <f>ROUND(J286*4.43%,2)</f>
        <v>10.9</v>
      </c>
      <c r="AF286" s="127">
        <v>0</v>
      </c>
      <c r="AG286" s="127">
        <v>0</v>
      </c>
      <c r="AH286" s="127">
        <f t="shared" si="1036"/>
        <v>46.02</v>
      </c>
      <c r="AI286" s="127">
        <f t="shared" si="1037"/>
        <v>69.12</v>
      </c>
      <c r="AJ286" s="127">
        <v>0</v>
      </c>
      <c r="AK286" s="127">
        <f t="shared" si="1028"/>
        <v>0</v>
      </c>
      <c r="AL286" s="127">
        <f t="shared" si="1021"/>
        <v>19.170000000000002</v>
      </c>
      <c r="AM286" s="127">
        <f t="shared" si="1035"/>
        <v>32.86</v>
      </c>
      <c r="AN286" s="127">
        <f t="shared" si="1038"/>
        <v>107</v>
      </c>
      <c r="AO286" s="127">
        <f t="shared" si="1039"/>
        <v>53.46</v>
      </c>
      <c r="AP286" s="127">
        <f t="shared" si="1040"/>
        <v>231.5</v>
      </c>
      <c r="AQ286" s="127">
        <f t="shared" si="1041"/>
        <v>182.69</v>
      </c>
      <c r="AR286" s="127">
        <f t="shared" si="1030"/>
        <v>0</v>
      </c>
      <c r="AS286" s="127">
        <f t="shared" si="1031"/>
        <v>0</v>
      </c>
      <c r="AT286" s="127">
        <f t="shared" si="1042"/>
        <v>53.25</v>
      </c>
      <c r="AU286" s="127">
        <f>ROUND(J286*28.15%,2)-0.01</f>
        <v>69.239999999999995</v>
      </c>
      <c r="AV286" s="127">
        <f t="shared" si="1044"/>
        <v>107</v>
      </c>
      <c r="AW286" s="127">
        <f>ROUND(M286*28.15%,2)-0.02</f>
        <v>83.59</v>
      </c>
      <c r="AX286" s="127"/>
      <c r="AY286" s="127"/>
      <c r="AZ286" s="127">
        <f t="shared" si="984"/>
        <v>694.56</v>
      </c>
      <c r="BA286" s="127">
        <f t="shared" si="958"/>
        <v>395.88</v>
      </c>
      <c r="BB286" s="127">
        <f t="shared" si="985"/>
        <v>0</v>
      </c>
      <c r="BC286" s="127">
        <f t="shared" si="985"/>
        <v>0</v>
      </c>
      <c r="BD286" s="127">
        <f t="shared" si="985"/>
        <v>159.75</v>
      </c>
      <c r="BE286" s="127">
        <f t="shared" si="985"/>
        <v>149.9</v>
      </c>
      <c r="BF286" s="127">
        <f t="shared" si="985"/>
        <v>321</v>
      </c>
      <c r="BG286" s="127">
        <f t="shared" si="986"/>
        <v>181.60000000000002</v>
      </c>
      <c r="BH286" s="2"/>
      <c r="BI286" s="2"/>
      <c r="BJ286" s="2"/>
      <c r="BK286" s="2"/>
    </row>
    <row r="287" spans="1:64" ht="20.100000000000001" customHeight="1" x14ac:dyDescent="0.3">
      <c r="A287" s="15">
        <v>12</v>
      </c>
      <c r="B287" s="16" t="s">
        <v>212</v>
      </c>
      <c r="C287" s="17">
        <v>760</v>
      </c>
      <c r="D287" s="17">
        <v>557</v>
      </c>
      <c r="E287" s="19" t="e">
        <f>C287+D287+#REF!+#REF!</f>
        <v>#REF!</v>
      </c>
      <c r="F287" s="17">
        <v>0</v>
      </c>
      <c r="G287" s="28">
        <v>0</v>
      </c>
      <c r="H287" s="19" t="e">
        <f>F287+G287+#REF!</f>
        <v>#REF!</v>
      </c>
      <c r="I287" s="17">
        <v>20</v>
      </c>
      <c r="J287" s="17">
        <v>0</v>
      </c>
      <c r="K287" s="19">
        <f t="shared" si="1014"/>
        <v>20</v>
      </c>
      <c r="L287" s="28">
        <v>25</v>
      </c>
      <c r="M287" s="28">
        <v>18</v>
      </c>
      <c r="N287" s="19">
        <f t="shared" si="972"/>
        <v>43</v>
      </c>
      <c r="O287" s="19">
        <f t="shared" si="1015"/>
        <v>805</v>
      </c>
      <c r="P287" s="20">
        <f t="shared" si="1016"/>
        <v>575</v>
      </c>
      <c r="Q287" s="19">
        <f t="shared" si="957"/>
        <v>1380</v>
      </c>
      <c r="R287" s="17">
        <f t="shared" si="1022"/>
        <v>190</v>
      </c>
      <c r="S287" s="17">
        <f t="shared" si="968"/>
        <v>83.55</v>
      </c>
      <c r="T287" s="17">
        <f t="shared" si="1018"/>
        <v>0</v>
      </c>
      <c r="U287" s="17">
        <f t="shared" si="969"/>
        <v>0</v>
      </c>
      <c r="V287" s="17">
        <f t="shared" si="1019"/>
        <v>5</v>
      </c>
      <c r="W287" s="17">
        <f t="shared" si="970"/>
        <v>0</v>
      </c>
      <c r="X287" s="17">
        <f t="shared" si="1020"/>
        <v>6.25</v>
      </c>
      <c r="Y287" s="113">
        <f t="shared" si="971"/>
        <v>2.7</v>
      </c>
      <c r="Z287" s="127">
        <f t="shared" si="1032"/>
        <v>152.26</v>
      </c>
      <c r="AA287" s="127">
        <f>ROUND(D287*7.2%,2)-0.01</f>
        <v>40.090000000000003</v>
      </c>
      <c r="AB287" s="127">
        <f t="shared" si="1024"/>
        <v>0</v>
      </c>
      <c r="AC287" s="127">
        <f t="shared" si="1025"/>
        <v>0</v>
      </c>
      <c r="AD287" s="127">
        <f t="shared" si="1026"/>
        <v>3.2</v>
      </c>
      <c r="AE287" s="127">
        <f t="shared" ref="AE287:AE304" si="1046">ROUND(J287*4.43%,2)</f>
        <v>0</v>
      </c>
      <c r="AF287" s="127">
        <v>0</v>
      </c>
      <c r="AG287" s="127">
        <v>0</v>
      </c>
      <c r="AH287" s="127">
        <f t="shared" si="1036"/>
        <v>37.770000000000003</v>
      </c>
      <c r="AI287" s="127">
        <f t="shared" si="1037"/>
        <v>59.32</v>
      </c>
      <c r="AJ287" s="127">
        <v>0</v>
      </c>
      <c r="AK287" s="127">
        <f t="shared" si="1028"/>
        <v>0</v>
      </c>
      <c r="AL287" s="127">
        <f t="shared" si="1021"/>
        <v>1.8</v>
      </c>
      <c r="AM287" s="127">
        <f t="shared" ref="AM287:AM304" si="1047">ROUND(J287*13%,2)</f>
        <v>0</v>
      </c>
      <c r="AN287" s="127">
        <f t="shared" si="1038"/>
        <v>6.25</v>
      </c>
      <c r="AO287" s="127">
        <f t="shared" si="1039"/>
        <v>3.24</v>
      </c>
      <c r="AP287" s="127">
        <f t="shared" si="1040"/>
        <v>190</v>
      </c>
      <c r="AQ287" s="127">
        <f t="shared" si="1041"/>
        <v>156.80000000000001</v>
      </c>
      <c r="AR287" s="127">
        <f t="shared" si="1030"/>
        <v>0</v>
      </c>
      <c r="AS287" s="127">
        <f t="shared" si="1031"/>
        <v>0</v>
      </c>
      <c r="AT287" s="127">
        <f t="shared" si="1042"/>
        <v>5</v>
      </c>
      <c r="AU287" s="127">
        <f t="shared" si="1043"/>
        <v>0</v>
      </c>
      <c r="AV287" s="127">
        <f t="shared" si="1044"/>
        <v>6.25</v>
      </c>
      <c r="AW287" s="127">
        <f t="shared" si="1045"/>
        <v>5.07</v>
      </c>
      <c r="AX287" s="127"/>
      <c r="AY287" s="127"/>
      <c r="AZ287" s="127">
        <f t="shared" si="984"/>
        <v>570.03</v>
      </c>
      <c r="BA287" s="127">
        <f t="shared" si="958"/>
        <v>339.76000000000005</v>
      </c>
      <c r="BB287" s="127">
        <f t="shared" si="985"/>
        <v>0</v>
      </c>
      <c r="BC287" s="127">
        <f t="shared" si="985"/>
        <v>0</v>
      </c>
      <c r="BD287" s="127">
        <f t="shared" si="985"/>
        <v>15</v>
      </c>
      <c r="BE287" s="127">
        <f t="shared" si="985"/>
        <v>0</v>
      </c>
      <c r="BF287" s="127">
        <f t="shared" si="985"/>
        <v>18.75</v>
      </c>
      <c r="BG287" s="127">
        <f t="shared" si="986"/>
        <v>11.010000000000002</v>
      </c>
      <c r="BH287" s="2"/>
      <c r="BI287" s="2"/>
      <c r="BJ287" s="2"/>
      <c r="BK287" s="2"/>
    </row>
    <row r="288" spans="1:64" ht="20.100000000000001" customHeight="1" thickBot="1" x14ac:dyDescent="0.35">
      <c r="A288" s="15">
        <v>13</v>
      </c>
      <c r="B288" s="16" t="s">
        <v>213</v>
      </c>
      <c r="C288" s="66">
        <v>1058</v>
      </c>
      <c r="D288" s="66">
        <v>176</v>
      </c>
      <c r="E288" s="19" t="e">
        <f>C288+D288+#REF!+#REF!</f>
        <v>#REF!</v>
      </c>
      <c r="F288" s="17">
        <v>0</v>
      </c>
      <c r="G288" s="28">
        <v>0</v>
      </c>
      <c r="H288" s="19" t="e">
        <f>F288+G288+#REF!</f>
        <v>#REF!</v>
      </c>
      <c r="I288" s="17">
        <v>0</v>
      </c>
      <c r="J288" s="17">
        <v>0</v>
      </c>
      <c r="K288" s="19">
        <f t="shared" si="1014"/>
        <v>0</v>
      </c>
      <c r="L288" s="28">
        <v>0</v>
      </c>
      <c r="M288" s="28">
        <v>0</v>
      </c>
      <c r="N288" s="19">
        <f t="shared" si="972"/>
        <v>0</v>
      </c>
      <c r="O288" s="19">
        <f t="shared" si="1015"/>
        <v>1058</v>
      </c>
      <c r="P288" s="20">
        <f t="shared" si="1016"/>
        <v>176</v>
      </c>
      <c r="Q288" s="19">
        <f t="shared" si="957"/>
        <v>1234</v>
      </c>
      <c r="R288" s="17">
        <v>0</v>
      </c>
      <c r="S288" s="17">
        <v>0</v>
      </c>
      <c r="T288" s="17">
        <f t="shared" si="1018"/>
        <v>0</v>
      </c>
      <c r="U288" s="17">
        <f t="shared" si="969"/>
        <v>0</v>
      </c>
      <c r="V288" s="17">
        <f t="shared" si="1019"/>
        <v>0</v>
      </c>
      <c r="W288" s="17">
        <f t="shared" si="970"/>
        <v>0</v>
      </c>
      <c r="X288" s="17">
        <f t="shared" si="1020"/>
        <v>0</v>
      </c>
      <c r="Y288" s="113">
        <f t="shared" si="971"/>
        <v>0</v>
      </c>
      <c r="Z288" s="127"/>
      <c r="AA288" s="127"/>
      <c r="AB288" s="127">
        <f t="shared" si="1024"/>
        <v>0</v>
      </c>
      <c r="AC288" s="127">
        <f t="shared" si="1025"/>
        <v>0</v>
      </c>
      <c r="AD288" s="127">
        <f t="shared" si="1026"/>
        <v>0</v>
      </c>
      <c r="AE288" s="127">
        <f t="shared" si="1046"/>
        <v>0</v>
      </c>
      <c r="AF288" s="127">
        <v>0</v>
      </c>
      <c r="AG288" s="127">
        <v>0</v>
      </c>
      <c r="AH288" s="127"/>
      <c r="AI288" s="127"/>
      <c r="AJ288" s="127">
        <v>0</v>
      </c>
      <c r="AK288" s="127">
        <f t="shared" si="1028"/>
        <v>0</v>
      </c>
      <c r="AL288" s="127">
        <f t="shared" si="1021"/>
        <v>0</v>
      </c>
      <c r="AM288" s="127">
        <f t="shared" si="1047"/>
        <v>0</v>
      </c>
      <c r="AN288" s="127">
        <f t="shared" si="1038"/>
        <v>0</v>
      </c>
      <c r="AO288" s="127">
        <f t="shared" si="1039"/>
        <v>0</v>
      </c>
      <c r="AP288" s="127"/>
      <c r="AQ288" s="127"/>
      <c r="AR288" s="127">
        <f t="shared" si="1030"/>
        <v>0</v>
      </c>
      <c r="AS288" s="127">
        <f t="shared" si="1031"/>
        <v>0</v>
      </c>
      <c r="AT288" s="127">
        <f t="shared" si="1042"/>
        <v>0</v>
      </c>
      <c r="AU288" s="127">
        <f t="shared" si="1043"/>
        <v>0</v>
      </c>
      <c r="AV288" s="127">
        <f t="shared" si="1044"/>
        <v>0</v>
      </c>
      <c r="AW288" s="127">
        <f t="shared" si="1045"/>
        <v>0</v>
      </c>
      <c r="AX288" s="127"/>
      <c r="AY288" s="127"/>
      <c r="AZ288" s="127">
        <f t="shared" si="984"/>
        <v>0</v>
      </c>
      <c r="BA288" s="127">
        <f t="shared" si="958"/>
        <v>0</v>
      </c>
      <c r="BB288" s="127">
        <f t="shared" si="985"/>
        <v>0</v>
      </c>
      <c r="BC288" s="127">
        <f t="shared" si="985"/>
        <v>0</v>
      </c>
      <c r="BD288" s="127">
        <f t="shared" si="985"/>
        <v>0</v>
      </c>
      <c r="BE288" s="127">
        <f t="shared" si="985"/>
        <v>0</v>
      </c>
      <c r="BF288" s="127">
        <f t="shared" si="985"/>
        <v>0</v>
      </c>
      <c r="BG288" s="127">
        <f t="shared" si="986"/>
        <v>0</v>
      </c>
      <c r="BH288" s="2"/>
      <c r="BI288" s="2"/>
      <c r="BJ288" s="2"/>
      <c r="BK288" s="2"/>
    </row>
    <row r="289" spans="1:63" ht="20.100000000000001" customHeight="1" thickBot="1" x14ac:dyDescent="0.35">
      <c r="A289" s="15">
        <v>14</v>
      </c>
      <c r="B289" s="16" t="s">
        <v>214</v>
      </c>
      <c r="C289" s="66">
        <v>1141</v>
      </c>
      <c r="D289" s="66">
        <v>931</v>
      </c>
      <c r="E289" s="19" t="e">
        <f>C289+D289+#REF!+#REF!</f>
        <v>#REF!</v>
      </c>
      <c r="F289" s="17">
        <v>0</v>
      </c>
      <c r="G289" s="28">
        <v>0</v>
      </c>
      <c r="H289" s="19" t="e">
        <f>F289+G289+#REF!</f>
        <v>#REF!</v>
      </c>
      <c r="I289" s="17">
        <v>0</v>
      </c>
      <c r="J289" s="17">
        <v>0</v>
      </c>
      <c r="K289" s="19">
        <f t="shared" si="1014"/>
        <v>0</v>
      </c>
      <c r="L289" s="28">
        <v>0</v>
      </c>
      <c r="M289" s="28">
        <v>0</v>
      </c>
      <c r="N289" s="19">
        <f t="shared" si="972"/>
        <v>0</v>
      </c>
      <c r="O289" s="19">
        <f t="shared" si="1015"/>
        <v>1141</v>
      </c>
      <c r="P289" s="20">
        <f t="shared" si="1016"/>
        <v>931</v>
      </c>
      <c r="Q289" s="19">
        <f t="shared" si="957"/>
        <v>2072</v>
      </c>
      <c r="R289" s="17">
        <v>0</v>
      </c>
      <c r="S289" s="17">
        <v>0</v>
      </c>
      <c r="T289" s="17">
        <f t="shared" si="1018"/>
        <v>0</v>
      </c>
      <c r="U289" s="17">
        <f t="shared" si="969"/>
        <v>0</v>
      </c>
      <c r="V289" s="17">
        <f t="shared" si="1019"/>
        <v>0</v>
      </c>
      <c r="W289" s="17">
        <f t="shared" si="970"/>
        <v>0</v>
      </c>
      <c r="X289" s="17">
        <f t="shared" si="1020"/>
        <v>0</v>
      </c>
      <c r="Y289" s="113">
        <f t="shared" si="971"/>
        <v>0</v>
      </c>
      <c r="Z289" s="127"/>
      <c r="AA289" s="127"/>
      <c r="AB289" s="127">
        <f t="shared" si="1024"/>
        <v>0</v>
      </c>
      <c r="AC289" s="127">
        <f t="shared" si="1025"/>
        <v>0</v>
      </c>
      <c r="AD289" s="127">
        <f t="shared" si="1026"/>
        <v>0</v>
      </c>
      <c r="AE289" s="127">
        <f t="shared" si="1046"/>
        <v>0</v>
      </c>
      <c r="AF289" s="127">
        <v>0</v>
      </c>
      <c r="AG289" s="127">
        <v>0</v>
      </c>
      <c r="AH289" s="127"/>
      <c r="AI289" s="127"/>
      <c r="AJ289" s="127">
        <v>0</v>
      </c>
      <c r="AK289" s="127">
        <f t="shared" si="1028"/>
        <v>0</v>
      </c>
      <c r="AL289" s="127">
        <f t="shared" si="1021"/>
        <v>0</v>
      </c>
      <c r="AM289" s="127">
        <f t="shared" si="1047"/>
        <v>0</v>
      </c>
      <c r="AN289" s="127">
        <f t="shared" si="1038"/>
        <v>0</v>
      </c>
      <c r="AO289" s="127">
        <f t="shared" si="1039"/>
        <v>0</v>
      </c>
      <c r="AP289" s="127"/>
      <c r="AQ289" s="127"/>
      <c r="AR289" s="127">
        <f t="shared" si="1030"/>
        <v>0</v>
      </c>
      <c r="AS289" s="127">
        <f t="shared" si="1031"/>
        <v>0</v>
      </c>
      <c r="AT289" s="127">
        <f t="shared" si="1042"/>
        <v>0</v>
      </c>
      <c r="AU289" s="127">
        <f t="shared" si="1043"/>
        <v>0</v>
      </c>
      <c r="AV289" s="127">
        <f t="shared" si="1044"/>
        <v>0</v>
      </c>
      <c r="AW289" s="127">
        <f t="shared" si="1045"/>
        <v>0</v>
      </c>
      <c r="AX289" s="127"/>
      <c r="AY289" s="127"/>
      <c r="AZ289" s="127">
        <f t="shared" si="984"/>
        <v>0</v>
      </c>
      <c r="BA289" s="127">
        <f t="shared" si="958"/>
        <v>0</v>
      </c>
      <c r="BB289" s="127">
        <f t="shared" si="985"/>
        <v>0</v>
      </c>
      <c r="BC289" s="127">
        <f t="shared" si="985"/>
        <v>0</v>
      </c>
      <c r="BD289" s="127">
        <f t="shared" si="985"/>
        <v>0</v>
      </c>
      <c r="BE289" s="127">
        <f t="shared" si="985"/>
        <v>0</v>
      </c>
      <c r="BF289" s="127">
        <f t="shared" si="985"/>
        <v>0</v>
      </c>
      <c r="BG289" s="127">
        <f t="shared" si="986"/>
        <v>0</v>
      </c>
      <c r="BH289" s="2"/>
      <c r="BI289" s="2"/>
      <c r="BJ289" s="2"/>
      <c r="BK289" s="2"/>
    </row>
    <row r="290" spans="1:63" ht="20.100000000000001" customHeight="1" x14ac:dyDescent="0.3">
      <c r="A290" s="15">
        <v>15</v>
      </c>
      <c r="B290" s="16" t="s">
        <v>244</v>
      </c>
      <c r="C290" s="17">
        <v>18</v>
      </c>
      <c r="D290" s="17">
        <v>0</v>
      </c>
      <c r="E290" s="19" t="e">
        <f>C290+D290+#REF!+#REF!</f>
        <v>#REF!</v>
      </c>
      <c r="F290" s="17">
        <v>0</v>
      </c>
      <c r="G290" s="28">
        <v>0</v>
      </c>
      <c r="H290" s="19" t="e">
        <f>F290+G290+#REF!</f>
        <v>#REF!</v>
      </c>
      <c r="I290" s="17">
        <v>0</v>
      </c>
      <c r="J290" s="17">
        <v>0</v>
      </c>
      <c r="K290" s="19">
        <f t="shared" si="1014"/>
        <v>0</v>
      </c>
      <c r="L290" s="28">
        <v>0</v>
      </c>
      <c r="M290" s="28">
        <v>0</v>
      </c>
      <c r="N290" s="19">
        <f t="shared" si="972"/>
        <v>0</v>
      </c>
      <c r="O290" s="19">
        <f t="shared" si="1015"/>
        <v>18</v>
      </c>
      <c r="P290" s="20">
        <f t="shared" si="1016"/>
        <v>0</v>
      </c>
      <c r="Q290" s="19">
        <f t="shared" si="957"/>
        <v>18</v>
      </c>
      <c r="R290" s="17">
        <v>0</v>
      </c>
      <c r="S290" s="17">
        <f t="shared" si="968"/>
        <v>0</v>
      </c>
      <c r="T290" s="17">
        <f t="shared" si="1018"/>
        <v>0</v>
      </c>
      <c r="U290" s="17">
        <f t="shared" si="969"/>
        <v>0</v>
      </c>
      <c r="V290" s="17">
        <f t="shared" si="1019"/>
        <v>0</v>
      </c>
      <c r="W290" s="17">
        <f t="shared" si="970"/>
        <v>0</v>
      </c>
      <c r="X290" s="17">
        <f t="shared" si="1020"/>
        <v>0</v>
      </c>
      <c r="Y290" s="113">
        <f t="shared" si="971"/>
        <v>0</v>
      </c>
      <c r="Z290" s="127"/>
      <c r="AA290" s="127">
        <f t="shared" si="1023"/>
        <v>0</v>
      </c>
      <c r="AB290" s="127">
        <f t="shared" si="1024"/>
        <v>0</v>
      </c>
      <c r="AC290" s="127">
        <f t="shared" si="1025"/>
        <v>0</v>
      </c>
      <c r="AD290" s="127">
        <f t="shared" si="1026"/>
        <v>0</v>
      </c>
      <c r="AE290" s="127">
        <f t="shared" si="1046"/>
        <v>0</v>
      </c>
      <c r="AF290" s="127">
        <v>0</v>
      </c>
      <c r="AG290" s="127">
        <v>0</v>
      </c>
      <c r="AH290" s="128"/>
      <c r="AI290" s="127">
        <f>ROUND(D290*10.65%,2)</f>
        <v>0</v>
      </c>
      <c r="AJ290" s="127">
        <v>0</v>
      </c>
      <c r="AK290" s="127">
        <f t="shared" si="1028"/>
        <v>0</v>
      </c>
      <c r="AL290" s="127">
        <f t="shared" si="1021"/>
        <v>0</v>
      </c>
      <c r="AM290" s="127">
        <f t="shared" si="1047"/>
        <v>0</v>
      </c>
      <c r="AN290" s="127">
        <f t="shared" si="1038"/>
        <v>0</v>
      </c>
      <c r="AO290" s="127">
        <f t="shared" si="1039"/>
        <v>0</v>
      </c>
      <c r="AP290" s="127"/>
      <c r="AQ290" s="127">
        <f t="shared" si="1041"/>
        <v>0</v>
      </c>
      <c r="AR290" s="127">
        <f t="shared" si="1030"/>
        <v>0</v>
      </c>
      <c r="AS290" s="127">
        <f t="shared" si="1031"/>
        <v>0</v>
      </c>
      <c r="AT290" s="127">
        <f t="shared" si="1042"/>
        <v>0</v>
      </c>
      <c r="AU290" s="127">
        <f t="shared" si="1043"/>
        <v>0</v>
      </c>
      <c r="AV290" s="127">
        <f t="shared" si="1044"/>
        <v>0</v>
      </c>
      <c r="AW290" s="127">
        <f t="shared" si="1045"/>
        <v>0</v>
      </c>
      <c r="AX290" s="127"/>
      <c r="AY290" s="127"/>
      <c r="AZ290" s="127">
        <f t="shared" si="984"/>
        <v>0</v>
      </c>
      <c r="BA290" s="127">
        <f t="shared" si="958"/>
        <v>0</v>
      </c>
      <c r="BB290" s="127">
        <f t="shared" si="985"/>
        <v>0</v>
      </c>
      <c r="BC290" s="127">
        <f t="shared" si="985"/>
        <v>0</v>
      </c>
      <c r="BD290" s="127">
        <f t="shared" si="985"/>
        <v>0</v>
      </c>
      <c r="BE290" s="127">
        <f t="shared" si="985"/>
        <v>0</v>
      </c>
      <c r="BF290" s="127">
        <f t="shared" si="985"/>
        <v>0</v>
      </c>
      <c r="BG290" s="127">
        <f t="shared" si="986"/>
        <v>0</v>
      </c>
      <c r="BH290" s="2"/>
      <c r="BI290" s="2"/>
      <c r="BJ290" s="2"/>
      <c r="BK290" s="2"/>
    </row>
    <row r="291" spans="1:63" ht="20.100000000000001" customHeight="1" x14ac:dyDescent="0.3">
      <c r="A291" s="15">
        <v>16</v>
      </c>
      <c r="B291" s="77" t="s">
        <v>215</v>
      </c>
      <c r="C291" s="17"/>
      <c r="D291" s="17">
        <v>0</v>
      </c>
      <c r="E291" s="19" t="e">
        <f>C291+D291+#REF!+#REF!</f>
        <v>#REF!</v>
      </c>
      <c r="F291" s="17">
        <v>0</v>
      </c>
      <c r="G291" s="28">
        <v>0</v>
      </c>
      <c r="H291" s="19" t="e">
        <f>F291+G291+#REF!</f>
        <v>#REF!</v>
      </c>
      <c r="I291" s="17">
        <v>0</v>
      </c>
      <c r="J291" s="17">
        <v>0</v>
      </c>
      <c r="K291" s="19">
        <f t="shared" si="1014"/>
        <v>0</v>
      </c>
      <c r="L291" s="28">
        <v>0</v>
      </c>
      <c r="M291" s="28">
        <v>0</v>
      </c>
      <c r="N291" s="19">
        <f t="shared" si="972"/>
        <v>0</v>
      </c>
      <c r="O291" s="19">
        <f t="shared" si="1015"/>
        <v>0</v>
      </c>
      <c r="P291" s="20">
        <f t="shared" si="1016"/>
        <v>0</v>
      </c>
      <c r="Q291" s="19">
        <f t="shared" si="957"/>
        <v>0</v>
      </c>
      <c r="R291" s="17">
        <v>0</v>
      </c>
      <c r="S291" s="17">
        <f t="shared" si="968"/>
        <v>0</v>
      </c>
      <c r="T291" s="17">
        <f t="shared" si="1018"/>
        <v>0</v>
      </c>
      <c r="U291" s="17">
        <f t="shared" si="969"/>
        <v>0</v>
      </c>
      <c r="V291" s="17">
        <f t="shared" si="1019"/>
        <v>0</v>
      </c>
      <c r="W291" s="17">
        <f t="shared" si="970"/>
        <v>0</v>
      </c>
      <c r="X291" s="17">
        <f t="shared" si="1020"/>
        <v>0</v>
      </c>
      <c r="Y291" s="113">
        <f t="shared" si="971"/>
        <v>0</v>
      </c>
      <c r="Z291" s="127"/>
      <c r="AA291" s="127">
        <f t="shared" si="1023"/>
        <v>0</v>
      </c>
      <c r="AB291" s="127">
        <f t="shared" si="1024"/>
        <v>0</v>
      </c>
      <c r="AC291" s="127">
        <f t="shared" si="1025"/>
        <v>0</v>
      </c>
      <c r="AD291" s="127">
        <f t="shared" si="1026"/>
        <v>0</v>
      </c>
      <c r="AE291" s="127">
        <f t="shared" si="1046"/>
        <v>0</v>
      </c>
      <c r="AF291" s="127">
        <v>0</v>
      </c>
      <c r="AG291" s="127">
        <v>0</v>
      </c>
      <c r="AH291" s="127">
        <f t="shared" ref="AH291:AH303" si="1048">ROUND(C291*4.97%,2)</f>
        <v>0</v>
      </c>
      <c r="AI291" s="127">
        <f t="shared" si="1037"/>
        <v>0</v>
      </c>
      <c r="AJ291" s="127">
        <v>0</v>
      </c>
      <c r="AK291" s="127">
        <f t="shared" si="1028"/>
        <v>0</v>
      </c>
      <c r="AL291" s="127">
        <f t="shared" si="1021"/>
        <v>0</v>
      </c>
      <c r="AM291" s="127">
        <f t="shared" si="1047"/>
        <v>0</v>
      </c>
      <c r="AN291" s="127">
        <f t="shared" si="1038"/>
        <v>0</v>
      </c>
      <c r="AO291" s="127">
        <f t="shared" si="1039"/>
        <v>0</v>
      </c>
      <c r="AP291" s="127">
        <f t="shared" si="1040"/>
        <v>0</v>
      </c>
      <c r="AQ291" s="127">
        <f t="shared" si="1041"/>
        <v>0</v>
      </c>
      <c r="AR291" s="127">
        <f t="shared" si="1030"/>
        <v>0</v>
      </c>
      <c r="AS291" s="127">
        <f t="shared" si="1031"/>
        <v>0</v>
      </c>
      <c r="AT291" s="127">
        <f t="shared" si="1042"/>
        <v>0</v>
      </c>
      <c r="AU291" s="127">
        <f t="shared" si="1043"/>
        <v>0</v>
      </c>
      <c r="AV291" s="127">
        <f t="shared" si="1044"/>
        <v>0</v>
      </c>
      <c r="AW291" s="127">
        <f t="shared" si="1045"/>
        <v>0</v>
      </c>
      <c r="AX291" s="127"/>
      <c r="AY291" s="127"/>
      <c r="AZ291" s="127">
        <f t="shared" si="984"/>
        <v>0</v>
      </c>
      <c r="BA291" s="127">
        <f t="shared" si="958"/>
        <v>0</v>
      </c>
      <c r="BB291" s="127">
        <f t="shared" si="985"/>
        <v>0</v>
      </c>
      <c r="BC291" s="127">
        <f t="shared" si="985"/>
        <v>0</v>
      </c>
      <c r="BD291" s="127">
        <f t="shared" si="985"/>
        <v>0</v>
      </c>
      <c r="BE291" s="127">
        <f t="shared" si="985"/>
        <v>0</v>
      </c>
      <c r="BF291" s="127">
        <f t="shared" si="985"/>
        <v>0</v>
      </c>
      <c r="BG291" s="127">
        <f t="shared" si="986"/>
        <v>0</v>
      </c>
      <c r="BH291" s="2"/>
      <c r="BI291" s="2"/>
      <c r="BJ291" s="2"/>
      <c r="BK291" s="2"/>
    </row>
    <row r="292" spans="1:63" ht="20.100000000000001" customHeight="1" x14ac:dyDescent="0.3">
      <c r="A292" s="15"/>
      <c r="B292" s="16" t="s">
        <v>202</v>
      </c>
      <c r="C292" s="17">
        <v>13.5</v>
      </c>
      <c r="D292" s="17"/>
      <c r="E292" s="19"/>
      <c r="F292" s="17"/>
      <c r="G292" s="28"/>
      <c r="H292" s="19"/>
      <c r="I292" s="17"/>
      <c r="J292" s="17"/>
      <c r="K292" s="19"/>
      <c r="L292" s="28"/>
      <c r="M292" s="28"/>
      <c r="N292" s="19"/>
      <c r="O292" s="19"/>
      <c r="P292" s="20"/>
      <c r="Q292" s="19"/>
      <c r="R292" s="17">
        <f>ROUND(C292*0.25,2)-0.01</f>
        <v>3.37</v>
      </c>
      <c r="S292" s="17"/>
      <c r="T292" s="17"/>
      <c r="U292" s="17"/>
      <c r="V292" s="17"/>
      <c r="W292" s="17"/>
      <c r="X292" s="17"/>
      <c r="Y292" s="113"/>
      <c r="Z292" s="127">
        <f t="shared" ref="Z292:Z303" si="1049">ROUND(C292*20.03%,2)</f>
        <v>2.7</v>
      </c>
      <c r="AA292" s="127">
        <f t="shared" si="1023"/>
        <v>0</v>
      </c>
      <c r="AB292" s="127">
        <f t="shared" si="1024"/>
        <v>0</v>
      </c>
      <c r="AC292" s="127">
        <f t="shared" si="1025"/>
        <v>0</v>
      </c>
      <c r="AD292" s="127">
        <f t="shared" si="1026"/>
        <v>0</v>
      </c>
      <c r="AE292" s="127">
        <f t="shared" si="1046"/>
        <v>0</v>
      </c>
      <c r="AF292" s="127">
        <v>0</v>
      </c>
      <c r="AG292" s="127">
        <v>0</v>
      </c>
      <c r="AH292" s="127">
        <f t="shared" si="1048"/>
        <v>0.67</v>
      </c>
      <c r="AI292" s="127">
        <f t="shared" si="1037"/>
        <v>0</v>
      </c>
      <c r="AJ292" s="127">
        <v>0</v>
      </c>
      <c r="AK292" s="127">
        <f t="shared" si="1028"/>
        <v>0</v>
      </c>
      <c r="AL292" s="127">
        <f t="shared" si="1021"/>
        <v>0</v>
      </c>
      <c r="AM292" s="127">
        <f t="shared" si="1047"/>
        <v>0</v>
      </c>
      <c r="AN292" s="127">
        <f t="shared" si="1038"/>
        <v>0</v>
      </c>
      <c r="AO292" s="127">
        <f t="shared" si="1039"/>
        <v>0</v>
      </c>
      <c r="AP292" s="127">
        <f t="shared" si="1040"/>
        <v>3.38</v>
      </c>
      <c r="AQ292" s="127">
        <f t="shared" si="1041"/>
        <v>0</v>
      </c>
      <c r="AR292" s="127">
        <f t="shared" si="1030"/>
        <v>0</v>
      </c>
      <c r="AS292" s="127">
        <f t="shared" si="1031"/>
        <v>0</v>
      </c>
      <c r="AT292" s="127">
        <f t="shared" si="1042"/>
        <v>0</v>
      </c>
      <c r="AU292" s="127">
        <f t="shared" si="1043"/>
        <v>0</v>
      </c>
      <c r="AV292" s="127">
        <f t="shared" si="1044"/>
        <v>0</v>
      </c>
      <c r="AW292" s="127">
        <f t="shared" si="1045"/>
        <v>0</v>
      </c>
      <c r="AX292" s="127"/>
      <c r="AY292" s="127"/>
      <c r="AZ292" s="127">
        <f t="shared" si="984"/>
        <v>10.120000000000001</v>
      </c>
      <c r="BA292" s="127">
        <f t="shared" si="958"/>
        <v>0</v>
      </c>
      <c r="BB292" s="127">
        <f t="shared" si="985"/>
        <v>0</v>
      </c>
      <c r="BC292" s="127">
        <f t="shared" si="985"/>
        <v>0</v>
      </c>
      <c r="BD292" s="127">
        <f t="shared" si="985"/>
        <v>0</v>
      </c>
      <c r="BE292" s="127">
        <f t="shared" si="985"/>
        <v>0</v>
      </c>
      <c r="BF292" s="127">
        <f t="shared" si="985"/>
        <v>0</v>
      </c>
      <c r="BG292" s="127">
        <f t="shared" si="986"/>
        <v>0</v>
      </c>
      <c r="BH292" s="2"/>
      <c r="BI292" s="2"/>
      <c r="BJ292" s="2"/>
      <c r="BK292" s="2"/>
    </row>
    <row r="293" spans="1:63" ht="20.100000000000001" customHeight="1" x14ac:dyDescent="0.3">
      <c r="A293" s="15"/>
      <c r="B293" s="16" t="s">
        <v>203</v>
      </c>
      <c r="C293" s="17">
        <v>14.85</v>
      </c>
      <c r="D293" s="17"/>
      <c r="E293" s="19"/>
      <c r="F293" s="17"/>
      <c r="G293" s="28"/>
      <c r="H293" s="19"/>
      <c r="I293" s="17"/>
      <c r="J293" s="17"/>
      <c r="K293" s="19"/>
      <c r="L293" s="28"/>
      <c r="M293" s="28"/>
      <c r="N293" s="19"/>
      <c r="O293" s="19"/>
      <c r="P293" s="20"/>
      <c r="Q293" s="19"/>
      <c r="R293" s="17">
        <f>ROUND(C293*0.25,2)-0.01</f>
        <v>3.7</v>
      </c>
      <c r="S293" s="17"/>
      <c r="T293" s="17"/>
      <c r="U293" s="17"/>
      <c r="V293" s="17"/>
      <c r="W293" s="17"/>
      <c r="X293" s="17"/>
      <c r="Y293" s="113"/>
      <c r="Z293" s="127">
        <f>ROUND(C293*20.03%,2)+0</f>
        <v>2.97</v>
      </c>
      <c r="AA293" s="127">
        <f t="shared" si="1023"/>
        <v>0</v>
      </c>
      <c r="AB293" s="127">
        <f t="shared" si="1024"/>
        <v>0</v>
      </c>
      <c r="AC293" s="127">
        <f t="shared" si="1025"/>
        <v>0</v>
      </c>
      <c r="AD293" s="127">
        <f t="shared" si="1026"/>
        <v>0</v>
      </c>
      <c r="AE293" s="127">
        <f t="shared" si="1046"/>
        <v>0</v>
      </c>
      <c r="AF293" s="127">
        <v>0</v>
      </c>
      <c r="AG293" s="127">
        <v>0</v>
      </c>
      <c r="AH293" s="127">
        <f t="shared" si="1048"/>
        <v>0.74</v>
      </c>
      <c r="AI293" s="127">
        <f t="shared" si="1037"/>
        <v>0</v>
      </c>
      <c r="AJ293" s="127">
        <v>0</v>
      </c>
      <c r="AK293" s="127">
        <f t="shared" si="1028"/>
        <v>0</v>
      </c>
      <c r="AL293" s="127">
        <f t="shared" si="1021"/>
        <v>0</v>
      </c>
      <c r="AM293" s="127">
        <f t="shared" si="1047"/>
        <v>0</v>
      </c>
      <c r="AN293" s="127">
        <f t="shared" si="1038"/>
        <v>0</v>
      </c>
      <c r="AO293" s="127">
        <f t="shared" si="1039"/>
        <v>0</v>
      </c>
      <c r="AP293" s="127">
        <f t="shared" si="1040"/>
        <v>3.71</v>
      </c>
      <c r="AQ293" s="127">
        <f t="shared" si="1041"/>
        <v>0</v>
      </c>
      <c r="AR293" s="127">
        <f t="shared" si="1030"/>
        <v>0</v>
      </c>
      <c r="AS293" s="127">
        <f t="shared" si="1031"/>
        <v>0</v>
      </c>
      <c r="AT293" s="127">
        <f t="shared" si="1042"/>
        <v>0</v>
      </c>
      <c r="AU293" s="127">
        <f t="shared" si="1043"/>
        <v>0</v>
      </c>
      <c r="AV293" s="127">
        <f t="shared" si="1044"/>
        <v>0</v>
      </c>
      <c r="AW293" s="127">
        <f t="shared" si="1045"/>
        <v>0</v>
      </c>
      <c r="AX293" s="127"/>
      <c r="AY293" s="127"/>
      <c r="AZ293" s="127">
        <f t="shared" si="984"/>
        <v>11.120000000000001</v>
      </c>
      <c r="BA293" s="127">
        <f t="shared" si="958"/>
        <v>0</v>
      </c>
      <c r="BB293" s="127">
        <f t="shared" si="985"/>
        <v>0</v>
      </c>
      <c r="BC293" s="127">
        <f t="shared" si="985"/>
        <v>0</v>
      </c>
      <c r="BD293" s="127">
        <f t="shared" si="985"/>
        <v>0</v>
      </c>
      <c r="BE293" s="127">
        <f t="shared" si="985"/>
        <v>0</v>
      </c>
      <c r="BF293" s="127">
        <f t="shared" ref="BF293:BF306" si="1050">+AV293+AN293+AF293+X293</f>
        <v>0</v>
      </c>
      <c r="BG293" s="127">
        <f t="shared" si="986"/>
        <v>0</v>
      </c>
      <c r="BH293" s="2"/>
      <c r="BI293" s="2"/>
      <c r="BJ293" s="2"/>
      <c r="BK293" s="2"/>
    </row>
    <row r="294" spans="1:63" ht="20.100000000000001" customHeight="1" x14ac:dyDescent="0.3">
      <c r="A294" s="15"/>
      <c r="B294" s="16" t="s">
        <v>204</v>
      </c>
      <c r="C294" s="17">
        <v>13.5</v>
      </c>
      <c r="D294" s="17"/>
      <c r="E294" s="19"/>
      <c r="F294" s="17"/>
      <c r="G294" s="28"/>
      <c r="H294" s="19"/>
      <c r="I294" s="17"/>
      <c r="J294" s="17"/>
      <c r="K294" s="19"/>
      <c r="L294" s="28"/>
      <c r="M294" s="28"/>
      <c r="N294" s="19"/>
      <c r="O294" s="19"/>
      <c r="P294" s="20"/>
      <c r="Q294" s="19"/>
      <c r="R294" s="17">
        <f>ROUND(C294*0.25,2)-0.01</f>
        <v>3.37</v>
      </c>
      <c r="S294" s="17"/>
      <c r="T294" s="17"/>
      <c r="U294" s="17"/>
      <c r="V294" s="17"/>
      <c r="W294" s="17"/>
      <c r="X294" s="17"/>
      <c r="Y294" s="113"/>
      <c r="Z294" s="127">
        <f>ROUND(C294*20.03%,2)+0.01</f>
        <v>2.71</v>
      </c>
      <c r="AA294" s="127">
        <f t="shared" si="1023"/>
        <v>0</v>
      </c>
      <c r="AB294" s="127">
        <f t="shared" si="1024"/>
        <v>0</v>
      </c>
      <c r="AC294" s="127">
        <f t="shared" si="1025"/>
        <v>0</v>
      </c>
      <c r="AD294" s="127">
        <f t="shared" si="1026"/>
        <v>0</v>
      </c>
      <c r="AE294" s="127">
        <f t="shared" si="1046"/>
        <v>0</v>
      </c>
      <c r="AF294" s="127">
        <v>0</v>
      </c>
      <c r="AG294" s="127">
        <v>0</v>
      </c>
      <c r="AH294" s="127">
        <f t="shared" si="1048"/>
        <v>0.67</v>
      </c>
      <c r="AI294" s="127">
        <f>ROUND(D294*10.65%,2)</f>
        <v>0</v>
      </c>
      <c r="AJ294" s="127">
        <v>0</v>
      </c>
      <c r="AK294" s="127">
        <f t="shared" si="1028"/>
        <v>0</v>
      </c>
      <c r="AL294" s="127">
        <f t="shared" si="1021"/>
        <v>0</v>
      </c>
      <c r="AM294" s="127">
        <f t="shared" si="1047"/>
        <v>0</v>
      </c>
      <c r="AN294" s="127">
        <f t="shared" si="1038"/>
        <v>0</v>
      </c>
      <c r="AO294" s="127">
        <f t="shared" si="1039"/>
        <v>0</v>
      </c>
      <c r="AP294" s="127">
        <f t="shared" si="1040"/>
        <v>3.38</v>
      </c>
      <c r="AQ294" s="127">
        <f t="shared" si="1041"/>
        <v>0</v>
      </c>
      <c r="AR294" s="127">
        <f t="shared" si="1030"/>
        <v>0</v>
      </c>
      <c r="AS294" s="127">
        <f t="shared" si="1031"/>
        <v>0</v>
      </c>
      <c r="AT294" s="127">
        <f t="shared" si="1042"/>
        <v>0</v>
      </c>
      <c r="AU294" s="127">
        <f t="shared" si="1043"/>
        <v>0</v>
      </c>
      <c r="AV294" s="127">
        <f t="shared" si="1044"/>
        <v>0</v>
      </c>
      <c r="AW294" s="127">
        <f t="shared" si="1045"/>
        <v>0</v>
      </c>
      <c r="AX294" s="127"/>
      <c r="AY294" s="127"/>
      <c r="AZ294" s="127">
        <f t="shared" si="984"/>
        <v>10.129999999999999</v>
      </c>
      <c r="BA294" s="127">
        <f t="shared" si="958"/>
        <v>0</v>
      </c>
      <c r="BB294" s="127">
        <f t="shared" si="985"/>
        <v>0</v>
      </c>
      <c r="BC294" s="127">
        <f t="shared" si="985"/>
        <v>0</v>
      </c>
      <c r="BD294" s="127">
        <f t="shared" si="985"/>
        <v>0</v>
      </c>
      <c r="BE294" s="127">
        <f t="shared" si="985"/>
        <v>0</v>
      </c>
      <c r="BF294" s="127">
        <f t="shared" si="1050"/>
        <v>0</v>
      </c>
      <c r="BG294" s="127">
        <f t="shared" si="986"/>
        <v>0</v>
      </c>
      <c r="BH294" s="2"/>
      <c r="BI294" s="2"/>
      <c r="BJ294" s="2"/>
      <c r="BK294" s="2"/>
    </row>
    <row r="295" spans="1:63" ht="20.100000000000001" customHeight="1" x14ac:dyDescent="0.3">
      <c r="A295" s="15"/>
      <c r="B295" s="16" t="s">
        <v>205</v>
      </c>
      <c r="C295" s="17">
        <v>13.5</v>
      </c>
      <c r="D295" s="17"/>
      <c r="E295" s="19"/>
      <c r="F295" s="17"/>
      <c r="G295" s="28"/>
      <c r="H295" s="19"/>
      <c r="I295" s="17"/>
      <c r="J295" s="17"/>
      <c r="K295" s="19"/>
      <c r="L295" s="28"/>
      <c r="M295" s="28"/>
      <c r="N295" s="19"/>
      <c r="O295" s="19"/>
      <c r="P295" s="20"/>
      <c r="Q295" s="19"/>
      <c r="R295" s="17">
        <f>ROUND(C295*0.25,2)-0.01</f>
        <v>3.37</v>
      </c>
      <c r="S295" s="17"/>
      <c r="T295" s="17"/>
      <c r="U295" s="17"/>
      <c r="V295" s="17"/>
      <c r="W295" s="17"/>
      <c r="X295" s="17"/>
      <c r="Y295" s="113"/>
      <c r="Z295" s="127">
        <f t="shared" ref="Z295:Z298" si="1051">ROUND(C295*20.03%,2)+0.01</f>
        <v>2.71</v>
      </c>
      <c r="AA295" s="127">
        <f t="shared" si="1023"/>
        <v>0</v>
      </c>
      <c r="AB295" s="127">
        <f t="shared" si="1024"/>
        <v>0</v>
      </c>
      <c r="AC295" s="127">
        <f t="shared" si="1025"/>
        <v>0</v>
      </c>
      <c r="AD295" s="127">
        <f t="shared" si="1026"/>
        <v>0</v>
      </c>
      <c r="AE295" s="127">
        <f t="shared" si="1046"/>
        <v>0</v>
      </c>
      <c r="AF295" s="127">
        <v>0</v>
      </c>
      <c r="AG295" s="127">
        <v>0</v>
      </c>
      <c r="AH295" s="127">
        <f t="shared" si="1048"/>
        <v>0.67</v>
      </c>
      <c r="AI295" s="127">
        <f t="shared" si="1037"/>
        <v>0</v>
      </c>
      <c r="AJ295" s="127">
        <v>0</v>
      </c>
      <c r="AK295" s="127">
        <f t="shared" si="1028"/>
        <v>0</v>
      </c>
      <c r="AL295" s="127">
        <f t="shared" si="1021"/>
        <v>0</v>
      </c>
      <c r="AM295" s="127">
        <f t="shared" si="1047"/>
        <v>0</v>
      </c>
      <c r="AN295" s="127">
        <f t="shared" si="1038"/>
        <v>0</v>
      </c>
      <c r="AO295" s="127">
        <f t="shared" si="1039"/>
        <v>0</v>
      </c>
      <c r="AP295" s="127">
        <f t="shared" si="1040"/>
        <v>3.38</v>
      </c>
      <c r="AQ295" s="127">
        <f t="shared" si="1041"/>
        <v>0</v>
      </c>
      <c r="AR295" s="127">
        <f t="shared" si="1030"/>
        <v>0</v>
      </c>
      <c r="AS295" s="127">
        <f t="shared" si="1031"/>
        <v>0</v>
      </c>
      <c r="AT295" s="127">
        <f t="shared" si="1042"/>
        <v>0</v>
      </c>
      <c r="AU295" s="127">
        <f t="shared" si="1043"/>
        <v>0</v>
      </c>
      <c r="AV295" s="127">
        <f t="shared" si="1044"/>
        <v>0</v>
      </c>
      <c r="AW295" s="127">
        <f t="shared" si="1045"/>
        <v>0</v>
      </c>
      <c r="AX295" s="127"/>
      <c r="AY295" s="127"/>
      <c r="AZ295" s="127">
        <f t="shared" si="984"/>
        <v>10.129999999999999</v>
      </c>
      <c r="BA295" s="127">
        <f t="shared" si="958"/>
        <v>0</v>
      </c>
      <c r="BB295" s="127">
        <f t="shared" si="985"/>
        <v>0</v>
      </c>
      <c r="BC295" s="127">
        <f t="shared" si="985"/>
        <v>0</v>
      </c>
      <c r="BD295" s="127">
        <f t="shared" si="985"/>
        <v>0</v>
      </c>
      <c r="BE295" s="127">
        <f t="shared" si="985"/>
        <v>0</v>
      </c>
      <c r="BF295" s="127">
        <f t="shared" si="1050"/>
        <v>0</v>
      </c>
      <c r="BG295" s="127">
        <f t="shared" si="986"/>
        <v>0</v>
      </c>
      <c r="BH295" s="2"/>
      <c r="BI295" s="2"/>
      <c r="BJ295" s="2"/>
      <c r="BK295" s="2"/>
    </row>
    <row r="296" spans="1:63" ht="20.100000000000001" customHeight="1" x14ac:dyDescent="0.3">
      <c r="A296" s="15"/>
      <c r="B296" s="16" t="s">
        <v>206</v>
      </c>
      <c r="C296" s="17">
        <v>13.5</v>
      </c>
      <c r="D296" s="17"/>
      <c r="E296" s="19"/>
      <c r="F296" s="17"/>
      <c r="G296" s="28"/>
      <c r="H296" s="19"/>
      <c r="I296" s="17"/>
      <c r="J296" s="17"/>
      <c r="K296" s="19"/>
      <c r="L296" s="28"/>
      <c r="M296" s="28"/>
      <c r="N296" s="19"/>
      <c r="O296" s="19"/>
      <c r="P296" s="20"/>
      <c r="Q296" s="19"/>
      <c r="R296" s="17">
        <f t="shared" ref="R296:R302" si="1052">ROUND(C296*0.25,2)</f>
        <v>3.38</v>
      </c>
      <c r="S296" s="17"/>
      <c r="T296" s="17"/>
      <c r="U296" s="17"/>
      <c r="V296" s="17"/>
      <c r="W296" s="17"/>
      <c r="X296" s="17"/>
      <c r="Y296" s="113"/>
      <c r="Z296" s="127">
        <f t="shared" si="1051"/>
        <v>2.71</v>
      </c>
      <c r="AA296" s="127">
        <f t="shared" si="1023"/>
        <v>0</v>
      </c>
      <c r="AB296" s="127">
        <f t="shared" si="1024"/>
        <v>0</v>
      </c>
      <c r="AC296" s="127">
        <f t="shared" si="1025"/>
        <v>0</v>
      </c>
      <c r="AD296" s="127">
        <f t="shared" si="1026"/>
        <v>0</v>
      </c>
      <c r="AE296" s="127">
        <f t="shared" si="1046"/>
        <v>0</v>
      </c>
      <c r="AF296" s="127">
        <v>0</v>
      </c>
      <c r="AG296" s="127">
        <v>0</v>
      </c>
      <c r="AH296" s="127">
        <f t="shared" si="1048"/>
        <v>0.67</v>
      </c>
      <c r="AI296" s="127">
        <f t="shared" si="1037"/>
        <v>0</v>
      </c>
      <c r="AJ296" s="127">
        <v>0</v>
      </c>
      <c r="AK296" s="127">
        <f t="shared" si="1028"/>
        <v>0</v>
      </c>
      <c r="AL296" s="127">
        <f t="shared" si="1021"/>
        <v>0</v>
      </c>
      <c r="AM296" s="127">
        <f t="shared" si="1047"/>
        <v>0</v>
      </c>
      <c r="AN296" s="127">
        <f t="shared" si="1038"/>
        <v>0</v>
      </c>
      <c r="AO296" s="127">
        <f t="shared" si="1039"/>
        <v>0</v>
      </c>
      <c r="AP296" s="127">
        <f t="shared" si="1040"/>
        <v>3.38</v>
      </c>
      <c r="AQ296" s="127">
        <f t="shared" si="1041"/>
        <v>0</v>
      </c>
      <c r="AR296" s="127">
        <f t="shared" si="1030"/>
        <v>0</v>
      </c>
      <c r="AS296" s="127">
        <f t="shared" si="1031"/>
        <v>0</v>
      </c>
      <c r="AT296" s="127">
        <f t="shared" si="1042"/>
        <v>0</v>
      </c>
      <c r="AU296" s="127">
        <f t="shared" si="1043"/>
        <v>0</v>
      </c>
      <c r="AV296" s="127">
        <f t="shared" si="1044"/>
        <v>0</v>
      </c>
      <c r="AW296" s="127">
        <f t="shared" si="1045"/>
        <v>0</v>
      </c>
      <c r="AX296" s="127"/>
      <c r="AY296" s="127"/>
      <c r="AZ296" s="127">
        <f t="shared" si="984"/>
        <v>10.14</v>
      </c>
      <c r="BA296" s="127">
        <f t="shared" si="958"/>
        <v>0</v>
      </c>
      <c r="BB296" s="127">
        <f t="shared" si="985"/>
        <v>0</v>
      </c>
      <c r="BC296" s="127">
        <f t="shared" si="985"/>
        <v>0</v>
      </c>
      <c r="BD296" s="127">
        <f t="shared" si="985"/>
        <v>0</v>
      </c>
      <c r="BE296" s="127">
        <f t="shared" si="985"/>
        <v>0</v>
      </c>
      <c r="BF296" s="127">
        <f t="shared" si="1050"/>
        <v>0</v>
      </c>
      <c r="BG296" s="127">
        <f t="shared" si="986"/>
        <v>0</v>
      </c>
      <c r="BH296" s="2"/>
      <c r="BI296" s="2"/>
      <c r="BJ296" s="2"/>
      <c r="BK296" s="2"/>
    </row>
    <row r="297" spans="1:63" ht="20.100000000000001" customHeight="1" x14ac:dyDescent="0.3">
      <c r="A297" s="15"/>
      <c r="B297" s="24" t="s">
        <v>207</v>
      </c>
      <c r="C297" s="17">
        <v>13.5</v>
      </c>
      <c r="D297" s="17"/>
      <c r="E297" s="19"/>
      <c r="F297" s="17"/>
      <c r="G297" s="28"/>
      <c r="H297" s="19"/>
      <c r="I297" s="17"/>
      <c r="J297" s="17"/>
      <c r="K297" s="19"/>
      <c r="L297" s="28"/>
      <c r="M297" s="28"/>
      <c r="N297" s="19"/>
      <c r="O297" s="19"/>
      <c r="P297" s="20"/>
      <c r="Q297" s="19"/>
      <c r="R297" s="17">
        <f t="shared" si="1052"/>
        <v>3.38</v>
      </c>
      <c r="S297" s="17"/>
      <c r="T297" s="17"/>
      <c r="U297" s="17"/>
      <c r="V297" s="17"/>
      <c r="W297" s="17"/>
      <c r="X297" s="17"/>
      <c r="Y297" s="113"/>
      <c r="Z297" s="127">
        <f t="shared" si="1051"/>
        <v>2.71</v>
      </c>
      <c r="AA297" s="127">
        <f t="shared" si="1023"/>
        <v>0</v>
      </c>
      <c r="AB297" s="127">
        <f t="shared" si="1024"/>
        <v>0</v>
      </c>
      <c r="AC297" s="127">
        <f t="shared" si="1025"/>
        <v>0</v>
      </c>
      <c r="AD297" s="127">
        <f t="shared" si="1026"/>
        <v>0</v>
      </c>
      <c r="AE297" s="127">
        <f t="shared" si="1046"/>
        <v>0</v>
      </c>
      <c r="AF297" s="127">
        <v>0</v>
      </c>
      <c r="AG297" s="127">
        <v>0</v>
      </c>
      <c r="AH297" s="127">
        <f t="shared" si="1048"/>
        <v>0.67</v>
      </c>
      <c r="AI297" s="127">
        <f t="shared" si="1037"/>
        <v>0</v>
      </c>
      <c r="AJ297" s="127">
        <v>0</v>
      </c>
      <c r="AK297" s="127">
        <f t="shared" si="1028"/>
        <v>0</v>
      </c>
      <c r="AL297" s="127">
        <f t="shared" si="1021"/>
        <v>0</v>
      </c>
      <c r="AM297" s="127">
        <f t="shared" si="1047"/>
        <v>0</v>
      </c>
      <c r="AN297" s="127">
        <f t="shared" si="1038"/>
        <v>0</v>
      </c>
      <c r="AO297" s="127">
        <f t="shared" si="1039"/>
        <v>0</v>
      </c>
      <c r="AP297" s="127">
        <f t="shared" si="1040"/>
        <v>3.38</v>
      </c>
      <c r="AQ297" s="127">
        <f t="shared" si="1041"/>
        <v>0</v>
      </c>
      <c r="AR297" s="127">
        <f t="shared" si="1030"/>
        <v>0</v>
      </c>
      <c r="AS297" s="127">
        <f t="shared" si="1031"/>
        <v>0</v>
      </c>
      <c r="AT297" s="127">
        <f t="shared" si="1042"/>
        <v>0</v>
      </c>
      <c r="AU297" s="127">
        <f t="shared" si="1043"/>
        <v>0</v>
      </c>
      <c r="AV297" s="127">
        <f t="shared" si="1044"/>
        <v>0</v>
      </c>
      <c r="AW297" s="127">
        <f t="shared" si="1045"/>
        <v>0</v>
      </c>
      <c r="AX297" s="127"/>
      <c r="AY297" s="127"/>
      <c r="AZ297" s="127">
        <f t="shared" si="984"/>
        <v>10.14</v>
      </c>
      <c r="BA297" s="127">
        <f t="shared" si="958"/>
        <v>0</v>
      </c>
      <c r="BB297" s="127">
        <f t="shared" si="985"/>
        <v>0</v>
      </c>
      <c r="BC297" s="127">
        <f t="shared" si="985"/>
        <v>0</v>
      </c>
      <c r="BD297" s="127">
        <f t="shared" si="985"/>
        <v>0</v>
      </c>
      <c r="BE297" s="127">
        <f t="shared" si="985"/>
        <v>0</v>
      </c>
      <c r="BF297" s="127">
        <f t="shared" si="1050"/>
        <v>0</v>
      </c>
      <c r="BG297" s="127">
        <f t="shared" si="986"/>
        <v>0</v>
      </c>
      <c r="BH297" s="2"/>
      <c r="BI297" s="2"/>
      <c r="BJ297" s="2"/>
      <c r="BK297" s="2"/>
    </row>
    <row r="298" spans="1:63" ht="20.100000000000001" customHeight="1" x14ac:dyDescent="0.3">
      <c r="A298" s="15"/>
      <c r="B298" s="16" t="s">
        <v>208</v>
      </c>
      <c r="C298" s="17">
        <v>13.5</v>
      </c>
      <c r="D298" s="17"/>
      <c r="E298" s="19"/>
      <c r="F298" s="17"/>
      <c r="G298" s="28"/>
      <c r="H298" s="19"/>
      <c r="I298" s="17"/>
      <c r="J298" s="17"/>
      <c r="K298" s="19"/>
      <c r="L298" s="28"/>
      <c r="M298" s="28"/>
      <c r="N298" s="19"/>
      <c r="O298" s="19"/>
      <c r="P298" s="20"/>
      <c r="Q298" s="19"/>
      <c r="R298" s="17">
        <f t="shared" si="1052"/>
        <v>3.38</v>
      </c>
      <c r="S298" s="17"/>
      <c r="T298" s="17"/>
      <c r="U298" s="17"/>
      <c r="V298" s="17"/>
      <c r="W298" s="17"/>
      <c r="X298" s="17"/>
      <c r="Y298" s="113"/>
      <c r="Z298" s="127">
        <f t="shared" si="1051"/>
        <v>2.71</v>
      </c>
      <c r="AA298" s="127">
        <f t="shared" si="1023"/>
        <v>0</v>
      </c>
      <c r="AB298" s="127">
        <f t="shared" si="1024"/>
        <v>0</v>
      </c>
      <c r="AC298" s="127">
        <f t="shared" si="1025"/>
        <v>0</v>
      </c>
      <c r="AD298" s="127">
        <f t="shared" si="1026"/>
        <v>0</v>
      </c>
      <c r="AE298" s="127">
        <f t="shared" si="1046"/>
        <v>0</v>
      </c>
      <c r="AF298" s="127">
        <v>0</v>
      </c>
      <c r="AG298" s="127">
        <v>0</v>
      </c>
      <c r="AH298" s="127">
        <f t="shared" si="1048"/>
        <v>0.67</v>
      </c>
      <c r="AI298" s="127">
        <f t="shared" si="1037"/>
        <v>0</v>
      </c>
      <c r="AJ298" s="127">
        <v>0</v>
      </c>
      <c r="AK298" s="127">
        <f t="shared" si="1028"/>
        <v>0</v>
      </c>
      <c r="AL298" s="127">
        <f t="shared" si="1021"/>
        <v>0</v>
      </c>
      <c r="AM298" s="127">
        <f t="shared" si="1047"/>
        <v>0</v>
      </c>
      <c r="AN298" s="127">
        <f t="shared" si="1038"/>
        <v>0</v>
      </c>
      <c r="AO298" s="127">
        <f t="shared" si="1039"/>
        <v>0</v>
      </c>
      <c r="AP298" s="127">
        <f t="shared" si="1040"/>
        <v>3.38</v>
      </c>
      <c r="AQ298" s="127">
        <f t="shared" si="1041"/>
        <v>0</v>
      </c>
      <c r="AR298" s="127">
        <f t="shared" si="1030"/>
        <v>0</v>
      </c>
      <c r="AS298" s="127">
        <f t="shared" si="1031"/>
        <v>0</v>
      </c>
      <c r="AT298" s="127">
        <f t="shared" si="1042"/>
        <v>0</v>
      </c>
      <c r="AU298" s="127">
        <f t="shared" si="1043"/>
        <v>0</v>
      </c>
      <c r="AV298" s="127">
        <f t="shared" si="1044"/>
        <v>0</v>
      </c>
      <c r="AW298" s="127">
        <f t="shared" si="1045"/>
        <v>0</v>
      </c>
      <c r="AX298" s="127"/>
      <c r="AY298" s="127"/>
      <c r="AZ298" s="127">
        <f t="shared" si="984"/>
        <v>10.14</v>
      </c>
      <c r="BA298" s="127">
        <f t="shared" si="958"/>
        <v>0</v>
      </c>
      <c r="BB298" s="127">
        <f t="shared" si="985"/>
        <v>0</v>
      </c>
      <c r="BC298" s="127">
        <f t="shared" si="985"/>
        <v>0</v>
      </c>
      <c r="BD298" s="127">
        <f t="shared" si="985"/>
        <v>0</v>
      </c>
      <c r="BE298" s="127">
        <f t="shared" si="985"/>
        <v>0</v>
      </c>
      <c r="BF298" s="127">
        <f t="shared" si="1050"/>
        <v>0</v>
      </c>
      <c r="BG298" s="127">
        <f t="shared" si="986"/>
        <v>0</v>
      </c>
      <c r="BH298" s="2"/>
      <c r="BI298" s="2"/>
      <c r="BJ298" s="2"/>
      <c r="BK298" s="2"/>
    </row>
    <row r="299" spans="1:63" ht="20.100000000000001" customHeight="1" x14ac:dyDescent="0.3">
      <c r="A299" s="15"/>
      <c r="B299" s="16" t="s">
        <v>209</v>
      </c>
      <c r="C299" s="17">
        <v>13.5</v>
      </c>
      <c r="D299" s="17"/>
      <c r="E299" s="19"/>
      <c r="F299" s="17"/>
      <c r="G299" s="28"/>
      <c r="H299" s="19"/>
      <c r="I299" s="17"/>
      <c r="J299" s="17"/>
      <c r="K299" s="19"/>
      <c r="L299" s="28"/>
      <c r="M299" s="28"/>
      <c r="N299" s="19"/>
      <c r="O299" s="19"/>
      <c r="P299" s="20"/>
      <c r="Q299" s="19"/>
      <c r="R299" s="17">
        <f t="shared" si="1052"/>
        <v>3.38</v>
      </c>
      <c r="S299" s="17"/>
      <c r="T299" s="17"/>
      <c r="U299" s="17"/>
      <c r="V299" s="17"/>
      <c r="W299" s="17"/>
      <c r="X299" s="17"/>
      <c r="Y299" s="113"/>
      <c r="Z299" s="127">
        <f t="shared" si="1049"/>
        <v>2.7</v>
      </c>
      <c r="AA299" s="127">
        <f t="shared" si="1023"/>
        <v>0</v>
      </c>
      <c r="AB299" s="127">
        <f t="shared" si="1024"/>
        <v>0</v>
      </c>
      <c r="AC299" s="127">
        <f t="shared" si="1025"/>
        <v>0</v>
      </c>
      <c r="AD299" s="127">
        <f t="shared" si="1026"/>
        <v>0</v>
      </c>
      <c r="AE299" s="127">
        <f t="shared" si="1046"/>
        <v>0</v>
      </c>
      <c r="AF299" s="127">
        <v>0</v>
      </c>
      <c r="AG299" s="127">
        <v>0</v>
      </c>
      <c r="AH299" s="127">
        <f t="shared" si="1048"/>
        <v>0.67</v>
      </c>
      <c r="AI299" s="127">
        <f t="shared" si="1037"/>
        <v>0</v>
      </c>
      <c r="AJ299" s="127">
        <v>0</v>
      </c>
      <c r="AK299" s="127">
        <f t="shared" si="1028"/>
        <v>0</v>
      </c>
      <c r="AL299" s="127">
        <f t="shared" si="1021"/>
        <v>0</v>
      </c>
      <c r="AM299" s="127">
        <f t="shared" si="1047"/>
        <v>0</v>
      </c>
      <c r="AN299" s="127">
        <f t="shared" si="1038"/>
        <v>0</v>
      </c>
      <c r="AO299" s="127">
        <f t="shared" si="1039"/>
        <v>0</v>
      </c>
      <c r="AP299" s="127">
        <f t="shared" si="1040"/>
        <v>3.38</v>
      </c>
      <c r="AQ299" s="127">
        <f t="shared" si="1041"/>
        <v>0</v>
      </c>
      <c r="AR299" s="127">
        <f t="shared" si="1030"/>
        <v>0</v>
      </c>
      <c r="AS299" s="127">
        <f t="shared" si="1031"/>
        <v>0</v>
      </c>
      <c r="AT299" s="127">
        <f t="shared" si="1042"/>
        <v>0</v>
      </c>
      <c r="AU299" s="127">
        <f t="shared" si="1043"/>
        <v>0</v>
      </c>
      <c r="AV299" s="127">
        <f t="shared" si="1044"/>
        <v>0</v>
      </c>
      <c r="AW299" s="127">
        <f t="shared" si="1045"/>
        <v>0</v>
      </c>
      <c r="AX299" s="127"/>
      <c r="AY299" s="127"/>
      <c r="AZ299" s="127">
        <f t="shared" si="984"/>
        <v>10.129999999999999</v>
      </c>
      <c r="BA299" s="127">
        <f t="shared" si="958"/>
        <v>0</v>
      </c>
      <c r="BB299" s="127">
        <f t="shared" si="985"/>
        <v>0</v>
      </c>
      <c r="BC299" s="127">
        <f t="shared" si="985"/>
        <v>0</v>
      </c>
      <c r="BD299" s="127">
        <f t="shared" si="985"/>
        <v>0</v>
      </c>
      <c r="BE299" s="127">
        <f t="shared" si="985"/>
        <v>0</v>
      </c>
      <c r="BF299" s="127">
        <f t="shared" si="1050"/>
        <v>0</v>
      </c>
      <c r="BG299" s="127">
        <f t="shared" si="986"/>
        <v>0</v>
      </c>
      <c r="BH299" s="2"/>
      <c r="BI299" s="2"/>
      <c r="BJ299" s="2"/>
      <c r="BK299" s="2"/>
    </row>
    <row r="300" spans="1:63" ht="20.100000000000001" customHeight="1" x14ac:dyDescent="0.3">
      <c r="A300" s="15"/>
      <c r="B300" s="16" t="s">
        <v>210</v>
      </c>
      <c r="C300" s="17">
        <v>13.5</v>
      </c>
      <c r="D300" s="17"/>
      <c r="E300" s="19"/>
      <c r="F300" s="17"/>
      <c r="G300" s="28"/>
      <c r="H300" s="19"/>
      <c r="I300" s="17"/>
      <c r="J300" s="17"/>
      <c r="K300" s="19"/>
      <c r="L300" s="28"/>
      <c r="M300" s="28"/>
      <c r="N300" s="19"/>
      <c r="O300" s="19"/>
      <c r="P300" s="20"/>
      <c r="Q300" s="19"/>
      <c r="R300" s="17">
        <f t="shared" si="1052"/>
        <v>3.38</v>
      </c>
      <c r="S300" s="17"/>
      <c r="T300" s="17"/>
      <c r="U300" s="17"/>
      <c r="V300" s="17"/>
      <c r="W300" s="17"/>
      <c r="X300" s="17"/>
      <c r="Y300" s="113"/>
      <c r="Z300" s="127">
        <f t="shared" si="1049"/>
        <v>2.7</v>
      </c>
      <c r="AA300" s="127">
        <f t="shared" si="1023"/>
        <v>0</v>
      </c>
      <c r="AB300" s="127">
        <f t="shared" si="1024"/>
        <v>0</v>
      </c>
      <c r="AC300" s="127">
        <f t="shared" si="1025"/>
        <v>0</v>
      </c>
      <c r="AD300" s="127">
        <f t="shared" si="1026"/>
        <v>0</v>
      </c>
      <c r="AE300" s="127">
        <f t="shared" si="1046"/>
        <v>0</v>
      </c>
      <c r="AF300" s="127">
        <v>0</v>
      </c>
      <c r="AG300" s="127">
        <v>0</v>
      </c>
      <c r="AH300" s="127">
        <f t="shared" si="1048"/>
        <v>0.67</v>
      </c>
      <c r="AI300" s="127">
        <f t="shared" si="1037"/>
        <v>0</v>
      </c>
      <c r="AJ300" s="127">
        <v>0</v>
      </c>
      <c r="AK300" s="127">
        <f t="shared" si="1028"/>
        <v>0</v>
      </c>
      <c r="AL300" s="127">
        <f t="shared" si="1021"/>
        <v>0</v>
      </c>
      <c r="AM300" s="127">
        <f t="shared" si="1047"/>
        <v>0</v>
      </c>
      <c r="AN300" s="127">
        <f t="shared" si="1038"/>
        <v>0</v>
      </c>
      <c r="AO300" s="127">
        <f t="shared" si="1039"/>
        <v>0</v>
      </c>
      <c r="AP300" s="127">
        <f t="shared" si="1040"/>
        <v>3.38</v>
      </c>
      <c r="AQ300" s="127">
        <f t="shared" si="1041"/>
        <v>0</v>
      </c>
      <c r="AR300" s="127">
        <f t="shared" si="1030"/>
        <v>0</v>
      </c>
      <c r="AS300" s="127">
        <f t="shared" si="1031"/>
        <v>0</v>
      </c>
      <c r="AT300" s="127">
        <f t="shared" si="1042"/>
        <v>0</v>
      </c>
      <c r="AU300" s="127">
        <f t="shared" si="1043"/>
        <v>0</v>
      </c>
      <c r="AV300" s="127">
        <f t="shared" si="1044"/>
        <v>0</v>
      </c>
      <c r="AW300" s="127">
        <f t="shared" si="1045"/>
        <v>0</v>
      </c>
      <c r="AX300" s="127"/>
      <c r="AY300" s="127"/>
      <c r="AZ300" s="127">
        <f t="shared" si="984"/>
        <v>10.129999999999999</v>
      </c>
      <c r="BA300" s="127">
        <f t="shared" si="958"/>
        <v>0</v>
      </c>
      <c r="BB300" s="127">
        <f t="shared" si="985"/>
        <v>0</v>
      </c>
      <c r="BC300" s="127">
        <f t="shared" si="985"/>
        <v>0</v>
      </c>
      <c r="BD300" s="127">
        <f t="shared" si="985"/>
        <v>0</v>
      </c>
      <c r="BE300" s="127">
        <f t="shared" si="985"/>
        <v>0</v>
      </c>
      <c r="BF300" s="127">
        <f t="shared" si="1050"/>
        <v>0</v>
      </c>
      <c r="BG300" s="127">
        <f t="shared" si="986"/>
        <v>0</v>
      </c>
      <c r="BH300" s="2"/>
      <c r="BI300" s="2"/>
      <c r="BJ300" s="2"/>
      <c r="BK300" s="2"/>
    </row>
    <row r="301" spans="1:63" ht="20.100000000000001" customHeight="1" x14ac:dyDescent="0.3">
      <c r="A301" s="15"/>
      <c r="B301" s="16" t="s">
        <v>211</v>
      </c>
      <c r="C301" s="17">
        <v>13.5</v>
      </c>
      <c r="D301" s="17"/>
      <c r="E301" s="19"/>
      <c r="F301" s="17"/>
      <c r="G301" s="28"/>
      <c r="H301" s="19"/>
      <c r="I301" s="17"/>
      <c r="J301" s="17"/>
      <c r="K301" s="19"/>
      <c r="L301" s="28"/>
      <c r="M301" s="28"/>
      <c r="N301" s="19"/>
      <c r="O301" s="19"/>
      <c r="P301" s="20"/>
      <c r="Q301" s="19"/>
      <c r="R301" s="17">
        <f t="shared" si="1052"/>
        <v>3.38</v>
      </c>
      <c r="S301" s="17"/>
      <c r="T301" s="17"/>
      <c r="U301" s="17"/>
      <c r="V301" s="17"/>
      <c r="W301" s="17"/>
      <c r="X301" s="17"/>
      <c r="Y301" s="113"/>
      <c r="Z301" s="127">
        <f t="shared" si="1049"/>
        <v>2.7</v>
      </c>
      <c r="AA301" s="127">
        <f t="shared" si="1023"/>
        <v>0</v>
      </c>
      <c r="AB301" s="127">
        <f t="shared" si="1024"/>
        <v>0</v>
      </c>
      <c r="AC301" s="127">
        <f t="shared" si="1025"/>
        <v>0</v>
      </c>
      <c r="AD301" s="127">
        <f t="shared" si="1026"/>
        <v>0</v>
      </c>
      <c r="AE301" s="127">
        <f t="shared" si="1046"/>
        <v>0</v>
      </c>
      <c r="AF301" s="127">
        <v>0</v>
      </c>
      <c r="AG301" s="127">
        <v>0</v>
      </c>
      <c r="AH301" s="127">
        <f t="shared" si="1048"/>
        <v>0.67</v>
      </c>
      <c r="AI301" s="127">
        <f t="shared" si="1037"/>
        <v>0</v>
      </c>
      <c r="AJ301" s="127">
        <v>0</v>
      </c>
      <c r="AK301" s="127">
        <f t="shared" si="1028"/>
        <v>0</v>
      </c>
      <c r="AL301" s="127">
        <f t="shared" si="1021"/>
        <v>0</v>
      </c>
      <c r="AM301" s="127">
        <f t="shared" si="1047"/>
        <v>0</v>
      </c>
      <c r="AN301" s="127">
        <f t="shared" si="1038"/>
        <v>0</v>
      </c>
      <c r="AO301" s="127">
        <f t="shared" si="1039"/>
        <v>0</v>
      </c>
      <c r="AP301" s="127">
        <f t="shared" si="1040"/>
        <v>3.38</v>
      </c>
      <c r="AQ301" s="127">
        <f t="shared" si="1041"/>
        <v>0</v>
      </c>
      <c r="AR301" s="127">
        <f t="shared" si="1030"/>
        <v>0</v>
      </c>
      <c r="AS301" s="127">
        <f t="shared" si="1031"/>
        <v>0</v>
      </c>
      <c r="AT301" s="127">
        <f t="shared" si="1042"/>
        <v>0</v>
      </c>
      <c r="AU301" s="127">
        <f t="shared" si="1043"/>
        <v>0</v>
      </c>
      <c r="AV301" s="127">
        <f t="shared" si="1044"/>
        <v>0</v>
      </c>
      <c r="AW301" s="127">
        <f t="shared" si="1045"/>
        <v>0</v>
      </c>
      <c r="AX301" s="127"/>
      <c r="AY301" s="127"/>
      <c r="AZ301" s="127">
        <f t="shared" si="984"/>
        <v>10.129999999999999</v>
      </c>
      <c r="BA301" s="127">
        <f t="shared" si="958"/>
        <v>0</v>
      </c>
      <c r="BB301" s="127">
        <f t="shared" si="985"/>
        <v>0</v>
      </c>
      <c r="BC301" s="127">
        <f t="shared" si="985"/>
        <v>0</v>
      </c>
      <c r="BD301" s="127">
        <f t="shared" si="985"/>
        <v>0</v>
      </c>
      <c r="BE301" s="127">
        <f t="shared" si="985"/>
        <v>0</v>
      </c>
      <c r="BF301" s="127">
        <f t="shared" si="1050"/>
        <v>0</v>
      </c>
      <c r="BG301" s="127">
        <f t="shared" si="986"/>
        <v>0</v>
      </c>
      <c r="BH301" s="2"/>
      <c r="BI301" s="2"/>
      <c r="BJ301" s="2"/>
      <c r="BK301" s="2"/>
    </row>
    <row r="302" spans="1:63" ht="20.100000000000001" customHeight="1" x14ac:dyDescent="0.3">
      <c r="A302" s="15"/>
      <c r="B302" s="16" t="s">
        <v>212</v>
      </c>
      <c r="C302" s="17">
        <v>13.5</v>
      </c>
      <c r="D302" s="17"/>
      <c r="E302" s="19"/>
      <c r="F302" s="17"/>
      <c r="G302" s="28"/>
      <c r="H302" s="19"/>
      <c r="I302" s="17"/>
      <c r="J302" s="17"/>
      <c r="K302" s="19"/>
      <c r="L302" s="28"/>
      <c r="M302" s="28"/>
      <c r="N302" s="19"/>
      <c r="O302" s="19"/>
      <c r="P302" s="20"/>
      <c r="Q302" s="19"/>
      <c r="R302" s="17">
        <f t="shared" si="1052"/>
        <v>3.38</v>
      </c>
      <c r="S302" s="17"/>
      <c r="T302" s="17"/>
      <c r="U302" s="17"/>
      <c r="V302" s="17"/>
      <c r="W302" s="17"/>
      <c r="X302" s="17"/>
      <c r="Y302" s="113"/>
      <c r="Z302" s="127">
        <f t="shared" si="1049"/>
        <v>2.7</v>
      </c>
      <c r="AA302" s="127">
        <f t="shared" si="1023"/>
        <v>0</v>
      </c>
      <c r="AB302" s="127">
        <f t="shared" si="1024"/>
        <v>0</v>
      </c>
      <c r="AC302" s="127">
        <f t="shared" si="1025"/>
        <v>0</v>
      </c>
      <c r="AD302" s="127">
        <f t="shared" si="1026"/>
        <v>0</v>
      </c>
      <c r="AE302" s="127">
        <f t="shared" si="1046"/>
        <v>0</v>
      </c>
      <c r="AF302" s="127">
        <v>0</v>
      </c>
      <c r="AG302" s="127">
        <v>0</v>
      </c>
      <c r="AH302" s="127">
        <f t="shared" si="1048"/>
        <v>0.67</v>
      </c>
      <c r="AI302" s="127">
        <f>ROUND(D302*10.65%,2)</f>
        <v>0</v>
      </c>
      <c r="AJ302" s="127">
        <v>0</v>
      </c>
      <c r="AK302" s="127">
        <f t="shared" si="1028"/>
        <v>0</v>
      </c>
      <c r="AL302" s="127">
        <f t="shared" si="1021"/>
        <v>0</v>
      </c>
      <c r="AM302" s="127">
        <f t="shared" si="1047"/>
        <v>0</v>
      </c>
      <c r="AN302" s="127">
        <f t="shared" si="1038"/>
        <v>0</v>
      </c>
      <c r="AO302" s="127">
        <f t="shared" si="1039"/>
        <v>0</v>
      </c>
      <c r="AP302" s="127">
        <f t="shared" si="1040"/>
        <v>3.38</v>
      </c>
      <c r="AQ302" s="127">
        <f t="shared" si="1041"/>
        <v>0</v>
      </c>
      <c r="AR302" s="127">
        <f t="shared" si="1030"/>
        <v>0</v>
      </c>
      <c r="AS302" s="127">
        <f t="shared" si="1031"/>
        <v>0</v>
      </c>
      <c r="AT302" s="127">
        <f t="shared" si="1042"/>
        <v>0</v>
      </c>
      <c r="AU302" s="127">
        <f t="shared" si="1043"/>
        <v>0</v>
      </c>
      <c r="AV302" s="127">
        <f t="shared" si="1044"/>
        <v>0</v>
      </c>
      <c r="AW302" s="127">
        <f t="shared" si="1045"/>
        <v>0</v>
      </c>
      <c r="AX302" s="127"/>
      <c r="AY302" s="127"/>
      <c r="AZ302" s="127">
        <f t="shared" si="984"/>
        <v>10.129999999999999</v>
      </c>
      <c r="BA302" s="127">
        <f t="shared" si="958"/>
        <v>0</v>
      </c>
      <c r="BB302" s="127">
        <f t="shared" si="985"/>
        <v>0</v>
      </c>
      <c r="BC302" s="127">
        <f t="shared" si="985"/>
        <v>0</v>
      </c>
      <c r="BD302" s="127">
        <f t="shared" si="985"/>
        <v>0</v>
      </c>
      <c r="BE302" s="127">
        <f t="shared" si="985"/>
        <v>0</v>
      </c>
      <c r="BF302" s="127">
        <f t="shared" si="1050"/>
        <v>0</v>
      </c>
      <c r="BG302" s="127">
        <f t="shared" si="986"/>
        <v>0</v>
      </c>
      <c r="BH302" s="2"/>
      <c r="BI302" s="2"/>
      <c r="BJ302" s="2"/>
      <c r="BK302" s="2"/>
    </row>
    <row r="303" spans="1:63" ht="20.100000000000001" customHeight="1" x14ac:dyDescent="0.3">
      <c r="A303" s="15"/>
      <c r="B303" s="16" t="s">
        <v>17</v>
      </c>
      <c r="C303" s="17">
        <v>5.15</v>
      </c>
      <c r="D303" s="17"/>
      <c r="E303" s="19"/>
      <c r="F303" s="17"/>
      <c r="G303" s="28"/>
      <c r="H303" s="19"/>
      <c r="I303" s="17"/>
      <c r="J303" s="17"/>
      <c r="K303" s="19"/>
      <c r="L303" s="28"/>
      <c r="M303" s="28"/>
      <c r="N303" s="19"/>
      <c r="O303" s="19"/>
      <c r="P303" s="20"/>
      <c r="Q303" s="19"/>
      <c r="R303" s="17">
        <f>ROUND(C303*0.25,2)-0.01</f>
        <v>1.28</v>
      </c>
      <c r="S303" s="17"/>
      <c r="T303" s="17"/>
      <c r="U303" s="17"/>
      <c r="V303" s="17"/>
      <c r="W303" s="17"/>
      <c r="X303" s="17"/>
      <c r="Y303" s="113"/>
      <c r="Z303" s="127">
        <f t="shared" si="1049"/>
        <v>1.03</v>
      </c>
      <c r="AA303" s="127">
        <f t="shared" si="1023"/>
        <v>0</v>
      </c>
      <c r="AB303" s="127">
        <f t="shared" si="1024"/>
        <v>0</v>
      </c>
      <c r="AC303" s="127">
        <f t="shared" si="1025"/>
        <v>0</v>
      </c>
      <c r="AD303" s="127">
        <f t="shared" si="1026"/>
        <v>0</v>
      </c>
      <c r="AE303" s="127">
        <f t="shared" si="1046"/>
        <v>0</v>
      </c>
      <c r="AF303" s="127">
        <v>0</v>
      </c>
      <c r="AG303" s="127">
        <v>0</v>
      </c>
      <c r="AH303" s="127">
        <f t="shared" si="1048"/>
        <v>0.26</v>
      </c>
      <c r="AI303" s="127">
        <f t="shared" si="1037"/>
        <v>0</v>
      </c>
      <c r="AJ303" s="127">
        <v>0</v>
      </c>
      <c r="AK303" s="127">
        <f t="shared" si="1028"/>
        <v>0</v>
      </c>
      <c r="AL303" s="127">
        <f t="shared" si="1021"/>
        <v>0</v>
      </c>
      <c r="AM303" s="127">
        <f t="shared" si="1047"/>
        <v>0</v>
      </c>
      <c r="AN303" s="127">
        <f t="shared" si="1038"/>
        <v>0</v>
      </c>
      <c r="AO303" s="127">
        <f t="shared" si="1039"/>
        <v>0</v>
      </c>
      <c r="AP303" s="127">
        <f t="shared" si="1040"/>
        <v>1.29</v>
      </c>
      <c r="AQ303" s="127">
        <f t="shared" si="1041"/>
        <v>0</v>
      </c>
      <c r="AR303" s="127">
        <f t="shared" si="1030"/>
        <v>0</v>
      </c>
      <c r="AS303" s="127">
        <f t="shared" si="1031"/>
        <v>0</v>
      </c>
      <c r="AT303" s="127">
        <f t="shared" si="1042"/>
        <v>0</v>
      </c>
      <c r="AU303" s="127">
        <f t="shared" si="1043"/>
        <v>0</v>
      </c>
      <c r="AV303" s="127">
        <f t="shared" si="1044"/>
        <v>0</v>
      </c>
      <c r="AW303" s="127">
        <f t="shared" si="1045"/>
        <v>0</v>
      </c>
      <c r="AX303" s="127"/>
      <c r="AY303" s="127"/>
      <c r="AZ303" s="127">
        <f t="shared" si="984"/>
        <v>3.8600000000000003</v>
      </c>
      <c r="BA303" s="127">
        <f t="shared" si="958"/>
        <v>0</v>
      </c>
      <c r="BB303" s="127">
        <f t="shared" si="985"/>
        <v>0</v>
      </c>
      <c r="BC303" s="127">
        <f t="shared" si="985"/>
        <v>0</v>
      </c>
      <c r="BD303" s="127">
        <f t="shared" si="985"/>
        <v>0</v>
      </c>
      <c r="BE303" s="127">
        <f t="shared" si="985"/>
        <v>0</v>
      </c>
      <c r="BF303" s="127">
        <f t="shared" si="1050"/>
        <v>0</v>
      </c>
      <c r="BG303" s="127">
        <f t="shared" si="986"/>
        <v>0</v>
      </c>
      <c r="BH303" s="2"/>
      <c r="BI303" s="2"/>
      <c r="BJ303" s="2"/>
      <c r="BK303" s="2"/>
    </row>
    <row r="304" spans="1:63" ht="20.100000000000001" customHeight="1" x14ac:dyDescent="0.3">
      <c r="A304" s="15">
        <v>17</v>
      </c>
      <c r="B304" s="16" t="s">
        <v>216</v>
      </c>
      <c r="C304" s="17">
        <v>27</v>
      </c>
      <c r="D304" s="17">
        <v>80</v>
      </c>
      <c r="E304" s="19" t="e">
        <f>C304+D304+#REF!+#REF!</f>
        <v>#REF!</v>
      </c>
      <c r="F304" s="17">
        <v>0</v>
      </c>
      <c r="G304" s="28">
        <v>0</v>
      </c>
      <c r="H304" s="19" t="e">
        <f>F304+G304+#REF!</f>
        <v>#REF!</v>
      </c>
      <c r="I304" s="17">
        <v>0</v>
      </c>
      <c r="J304" s="17">
        <v>0</v>
      </c>
      <c r="K304" s="19">
        <f t="shared" si="1014"/>
        <v>0</v>
      </c>
      <c r="L304" s="28">
        <v>0</v>
      </c>
      <c r="M304" s="28">
        <v>0</v>
      </c>
      <c r="N304" s="19">
        <f t="shared" si="972"/>
        <v>0</v>
      </c>
      <c r="O304" s="19">
        <f>C304+F304+I304+L304</f>
        <v>27</v>
      </c>
      <c r="P304" s="20">
        <f>D304+G304+J304+M304</f>
        <v>80</v>
      </c>
      <c r="Q304" s="19">
        <f t="shared" si="957"/>
        <v>107</v>
      </c>
      <c r="R304" s="17">
        <v>0</v>
      </c>
      <c r="S304" s="17">
        <v>0</v>
      </c>
      <c r="T304" s="17">
        <f t="shared" si="1018"/>
        <v>0</v>
      </c>
      <c r="U304" s="17">
        <f t="shared" si="969"/>
        <v>0</v>
      </c>
      <c r="V304" s="17">
        <f t="shared" si="1019"/>
        <v>0</v>
      </c>
      <c r="W304" s="17">
        <f t="shared" si="970"/>
        <v>0</v>
      </c>
      <c r="X304" s="17">
        <f t="shared" si="1020"/>
        <v>0</v>
      </c>
      <c r="Y304" s="113">
        <f t="shared" si="971"/>
        <v>0</v>
      </c>
      <c r="Z304" s="127"/>
      <c r="AA304" s="127"/>
      <c r="AB304" s="127">
        <f t="shared" si="1024"/>
        <v>0</v>
      </c>
      <c r="AC304" s="127">
        <f t="shared" si="1025"/>
        <v>0</v>
      </c>
      <c r="AD304" s="127">
        <f t="shared" si="1026"/>
        <v>0</v>
      </c>
      <c r="AE304" s="127">
        <f t="shared" si="1046"/>
        <v>0</v>
      </c>
      <c r="AF304" s="127">
        <v>0</v>
      </c>
      <c r="AG304" s="127">
        <v>0</v>
      </c>
      <c r="AH304" s="128"/>
      <c r="AI304" s="127"/>
      <c r="AJ304" s="127">
        <v>0</v>
      </c>
      <c r="AK304" s="127">
        <f t="shared" si="1028"/>
        <v>0</v>
      </c>
      <c r="AL304" s="127">
        <f t="shared" si="1021"/>
        <v>0</v>
      </c>
      <c r="AM304" s="127">
        <f t="shared" si="1047"/>
        <v>0</v>
      </c>
      <c r="AN304" s="127">
        <f t="shared" si="1038"/>
        <v>0</v>
      </c>
      <c r="AO304" s="127">
        <f t="shared" si="1039"/>
        <v>0</v>
      </c>
      <c r="AP304" s="128"/>
      <c r="AQ304" s="128"/>
      <c r="AR304" s="127">
        <f t="shared" si="1030"/>
        <v>0</v>
      </c>
      <c r="AS304" s="127">
        <f t="shared" si="1031"/>
        <v>0</v>
      </c>
      <c r="AT304" s="127">
        <f t="shared" si="1042"/>
        <v>0</v>
      </c>
      <c r="AU304" s="127">
        <f t="shared" si="1043"/>
        <v>0</v>
      </c>
      <c r="AV304" s="127">
        <f t="shared" si="1044"/>
        <v>0</v>
      </c>
      <c r="AW304" s="127">
        <f t="shared" si="1045"/>
        <v>0</v>
      </c>
      <c r="AX304" s="127"/>
      <c r="AY304" s="127"/>
      <c r="AZ304" s="127">
        <f t="shared" si="984"/>
        <v>0</v>
      </c>
      <c r="BA304" s="127">
        <f t="shared" si="958"/>
        <v>0</v>
      </c>
      <c r="BB304" s="127">
        <f t="shared" si="985"/>
        <v>0</v>
      </c>
      <c r="BC304" s="127">
        <f t="shared" si="985"/>
        <v>0</v>
      </c>
      <c r="BD304" s="127">
        <f t="shared" si="985"/>
        <v>0</v>
      </c>
      <c r="BE304" s="127">
        <f t="shared" si="985"/>
        <v>0</v>
      </c>
      <c r="BF304" s="127">
        <f t="shared" si="1050"/>
        <v>0</v>
      </c>
      <c r="BG304" s="127">
        <f t="shared" si="986"/>
        <v>0</v>
      </c>
      <c r="BH304" s="2"/>
      <c r="BI304" s="2"/>
      <c r="BJ304" s="2"/>
      <c r="BK304" s="2"/>
    </row>
    <row r="305" spans="1:63" s="34" customFormat="1" ht="20.100000000000001" customHeight="1" x14ac:dyDescent="0.3">
      <c r="A305" s="31"/>
      <c r="B305" s="32" t="s">
        <v>217</v>
      </c>
      <c r="C305" s="33">
        <f>SUM(C276:C304)</f>
        <v>11649</v>
      </c>
      <c r="D305" s="33">
        <f>SUM(D276:D304)</f>
        <v>7161</v>
      </c>
      <c r="E305" s="33" t="e">
        <f t="shared" ref="E305:BG305" si="1053">SUM(E276:E304)</f>
        <v>#REF!</v>
      </c>
      <c r="F305" s="33">
        <f t="shared" si="1053"/>
        <v>1091</v>
      </c>
      <c r="G305" s="33">
        <f t="shared" si="1053"/>
        <v>3499</v>
      </c>
      <c r="H305" s="33" t="e">
        <f t="shared" si="1053"/>
        <v>#REF!</v>
      </c>
      <c r="I305" s="33">
        <f t="shared" si="1053"/>
        <v>1871</v>
      </c>
      <c r="J305" s="33">
        <f t="shared" si="1053"/>
        <v>2129</v>
      </c>
      <c r="K305" s="33">
        <f t="shared" si="1053"/>
        <v>4000</v>
      </c>
      <c r="L305" s="33">
        <f t="shared" si="1053"/>
        <v>3191</v>
      </c>
      <c r="M305" s="33">
        <f t="shared" si="1053"/>
        <v>2209</v>
      </c>
      <c r="N305" s="33">
        <f t="shared" si="1053"/>
        <v>5400</v>
      </c>
      <c r="O305" s="33">
        <f t="shared" si="1053"/>
        <v>17647</v>
      </c>
      <c r="P305" s="33">
        <f t="shared" si="1053"/>
        <v>14998</v>
      </c>
      <c r="Q305" s="33">
        <f t="shared" si="1053"/>
        <v>32645</v>
      </c>
      <c r="R305" s="33">
        <f t="shared" si="1053"/>
        <v>2351.2500000000005</v>
      </c>
      <c r="S305" s="33">
        <f t="shared" si="1053"/>
        <v>896.1</v>
      </c>
      <c r="T305" s="33">
        <f t="shared" si="1053"/>
        <v>272.75</v>
      </c>
      <c r="U305" s="33">
        <f t="shared" si="1053"/>
        <v>524.85</v>
      </c>
      <c r="V305" s="33">
        <f t="shared" si="1053"/>
        <v>467.75</v>
      </c>
      <c r="W305" s="33">
        <f t="shared" si="1053"/>
        <v>319.35000000000002</v>
      </c>
      <c r="X305" s="33">
        <f t="shared" si="1053"/>
        <v>797.75</v>
      </c>
      <c r="Y305" s="117">
        <f t="shared" si="1053"/>
        <v>331.35</v>
      </c>
      <c r="Z305" s="33">
        <f t="shared" si="1053"/>
        <v>1884.2200000000003</v>
      </c>
      <c r="AA305" s="33">
        <f t="shared" si="1053"/>
        <v>430.12</v>
      </c>
      <c r="AB305" s="33">
        <f t="shared" si="1053"/>
        <v>274.55999999999995</v>
      </c>
      <c r="AC305" s="33">
        <f t="shared" si="1053"/>
        <v>155.13999999999999</v>
      </c>
      <c r="AD305" s="33">
        <f t="shared" si="1053"/>
        <v>299.35999999999996</v>
      </c>
      <c r="AE305" s="33">
        <f t="shared" si="1053"/>
        <v>94.4</v>
      </c>
      <c r="AF305" s="33">
        <f t="shared" si="1053"/>
        <v>0</v>
      </c>
      <c r="AG305" s="33">
        <f t="shared" si="1053"/>
        <v>0</v>
      </c>
      <c r="AH305" s="33">
        <f t="shared" si="1053"/>
        <v>467.03000000000009</v>
      </c>
      <c r="AI305" s="33">
        <f t="shared" si="1053"/>
        <v>636.37000000000012</v>
      </c>
      <c r="AJ305" s="33">
        <f t="shared" si="1053"/>
        <v>0</v>
      </c>
      <c r="AK305" s="33">
        <f t="shared" si="1053"/>
        <v>467.62</v>
      </c>
      <c r="AL305" s="33">
        <f t="shared" si="1053"/>
        <v>168.39</v>
      </c>
      <c r="AM305" s="33">
        <f t="shared" si="1053"/>
        <v>285.63000000000005</v>
      </c>
      <c r="AN305" s="33">
        <f t="shared" si="1053"/>
        <v>797.75</v>
      </c>
      <c r="AO305" s="33">
        <f t="shared" si="1053"/>
        <v>394.31</v>
      </c>
      <c r="AP305" s="33">
        <f t="shared" si="1053"/>
        <v>2351.2500000000009</v>
      </c>
      <c r="AQ305" s="33">
        <f t="shared" si="1053"/>
        <v>1681.68</v>
      </c>
      <c r="AR305" s="33">
        <f t="shared" si="1053"/>
        <v>270.94000000000005</v>
      </c>
      <c r="AS305" s="33">
        <f t="shared" si="1053"/>
        <v>986.78</v>
      </c>
      <c r="AT305" s="33">
        <f t="shared" si="1053"/>
        <v>467.75</v>
      </c>
      <c r="AU305" s="33">
        <f t="shared" si="1053"/>
        <v>599.31000000000006</v>
      </c>
      <c r="AV305" s="33">
        <f t="shared" si="1053"/>
        <v>797.75</v>
      </c>
      <c r="AW305" s="33">
        <f t="shared" si="1053"/>
        <v>621.83000000000015</v>
      </c>
      <c r="AX305" s="33">
        <f t="shared" si="1053"/>
        <v>0</v>
      </c>
      <c r="AY305" s="33">
        <f t="shared" si="1053"/>
        <v>0</v>
      </c>
      <c r="AZ305" s="33">
        <f t="shared" si="1053"/>
        <v>7053.7500000000009</v>
      </c>
      <c r="BA305" s="33">
        <f t="shared" si="1053"/>
        <v>3644.2700000000004</v>
      </c>
      <c r="BB305" s="33">
        <f t="shared" si="1053"/>
        <v>818.25</v>
      </c>
      <c r="BC305" s="33">
        <f t="shared" si="1053"/>
        <v>2134.39</v>
      </c>
      <c r="BD305" s="33">
        <f t="shared" si="1053"/>
        <v>1403.25</v>
      </c>
      <c r="BE305" s="33">
        <f t="shared" si="1053"/>
        <v>1298.6899999999998</v>
      </c>
      <c r="BF305" s="33">
        <f t="shared" si="1053"/>
        <v>2393.25</v>
      </c>
      <c r="BG305" s="33">
        <f t="shared" si="1053"/>
        <v>1347.49</v>
      </c>
      <c r="BH305" s="2"/>
      <c r="BI305" s="2"/>
      <c r="BJ305" s="2"/>
      <c r="BK305" s="2"/>
    </row>
    <row r="306" spans="1:63" ht="20.100000000000001" customHeight="1" x14ac:dyDescent="0.3">
      <c r="A306" s="15">
        <v>1</v>
      </c>
      <c r="B306" s="16" t="s">
        <v>226</v>
      </c>
      <c r="C306" s="17">
        <v>10000</v>
      </c>
      <c r="D306" s="17">
        <v>12500</v>
      </c>
      <c r="E306" s="19" t="e">
        <f>C306+D306+#REF!+#REF!</f>
        <v>#REF!</v>
      </c>
      <c r="F306" s="17">
        <v>0</v>
      </c>
      <c r="G306" s="28">
        <v>0</v>
      </c>
      <c r="H306" s="19" t="e">
        <f>F306+G306+#REF!</f>
        <v>#REF!</v>
      </c>
      <c r="I306" s="17">
        <v>0</v>
      </c>
      <c r="J306" s="17">
        <v>0</v>
      </c>
      <c r="K306" s="19">
        <f t="shared" ref="K306" si="1054">I306+J306</f>
        <v>0</v>
      </c>
      <c r="L306" s="30">
        <v>0</v>
      </c>
      <c r="M306" s="30">
        <v>0</v>
      </c>
      <c r="N306" s="19">
        <f t="shared" si="972"/>
        <v>0</v>
      </c>
      <c r="O306" s="19">
        <f>C306+F306+I306+L306</f>
        <v>10000</v>
      </c>
      <c r="P306" s="20">
        <f>D306+G306+J306+M306</f>
        <v>12500</v>
      </c>
      <c r="Q306" s="19">
        <f t="shared" si="957"/>
        <v>22500</v>
      </c>
      <c r="R306" s="17">
        <f t="shared" ref="R306" si="1055">ROUND(C306*0.25,2)</f>
        <v>2500</v>
      </c>
      <c r="S306" s="17">
        <f>ROUND(D306*0.15,2)+7303.97</f>
        <v>9178.9700000000012</v>
      </c>
      <c r="T306" s="17">
        <f t="shared" ref="T306" si="1056">ROUND(F306*0.25,2)</f>
        <v>0</v>
      </c>
      <c r="U306" s="17">
        <f t="shared" si="969"/>
        <v>0</v>
      </c>
      <c r="V306" s="17">
        <v>0</v>
      </c>
      <c r="W306" s="17">
        <f t="shared" si="970"/>
        <v>0</v>
      </c>
      <c r="X306" s="30">
        <v>0</v>
      </c>
      <c r="Y306" s="113">
        <f t="shared" si="971"/>
        <v>0</v>
      </c>
      <c r="Z306" s="127">
        <v>100</v>
      </c>
      <c r="AA306" s="127">
        <v>100</v>
      </c>
      <c r="AB306" s="127">
        <f t="shared" si="982"/>
        <v>0</v>
      </c>
      <c r="AC306" s="127">
        <f t="shared" si="983"/>
        <v>0</v>
      </c>
      <c r="AD306" s="127">
        <f t="shared" si="973"/>
        <v>0</v>
      </c>
      <c r="AE306" s="127">
        <f t="shared" si="974"/>
        <v>0</v>
      </c>
      <c r="AF306" s="127">
        <v>0</v>
      </c>
      <c r="AG306" s="127">
        <v>0</v>
      </c>
      <c r="AH306" s="127">
        <v>7400</v>
      </c>
      <c r="AI306" s="127">
        <v>3221.03</v>
      </c>
      <c r="AJ306" s="127">
        <v>0</v>
      </c>
      <c r="AK306" s="127">
        <v>0</v>
      </c>
      <c r="AL306" s="127"/>
      <c r="AM306" s="127"/>
      <c r="AN306" s="127">
        <f t="shared" si="1038"/>
        <v>0</v>
      </c>
      <c r="AO306" s="127">
        <f t="shared" si="1039"/>
        <v>0</v>
      </c>
      <c r="AP306" s="127">
        <v>0</v>
      </c>
      <c r="AQ306" s="127">
        <v>0</v>
      </c>
      <c r="AR306" s="127">
        <v>0</v>
      </c>
      <c r="AS306" s="127">
        <v>0</v>
      </c>
      <c r="AT306" s="127">
        <v>0</v>
      </c>
      <c r="AU306" s="127">
        <v>0</v>
      </c>
      <c r="AV306" s="127">
        <v>0</v>
      </c>
      <c r="AW306" s="127">
        <v>0</v>
      </c>
      <c r="AX306" s="127"/>
      <c r="AY306" s="127"/>
      <c r="AZ306" s="127">
        <f t="shared" si="984"/>
        <v>10000</v>
      </c>
      <c r="BA306" s="127">
        <f t="shared" si="958"/>
        <v>12500.000000000002</v>
      </c>
      <c r="BB306" s="127">
        <f t="shared" si="985"/>
        <v>0</v>
      </c>
      <c r="BC306" s="127">
        <f t="shared" si="985"/>
        <v>0</v>
      </c>
      <c r="BD306" s="127">
        <f t="shared" si="985"/>
        <v>0</v>
      </c>
      <c r="BE306" s="127">
        <f t="shared" si="985"/>
        <v>0</v>
      </c>
      <c r="BF306" s="127">
        <f t="shared" si="1050"/>
        <v>0</v>
      </c>
      <c r="BG306" s="127">
        <f t="shared" si="986"/>
        <v>0</v>
      </c>
      <c r="BH306" s="2"/>
      <c r="BI306" s="2"/>
      <c r="BJ306" s="2"/>
      <c r="BK306" s="2"/>
    </row>
    <row r="307" spans="1:63" s="34" customFormat="1" ht="20.100000000000001" customHeight="1" x14ac:dyDescent="0.3">
      <c r="A307" s="31"/>
      <c r="B307" s="32" t="s">
        <v>220</v>
      </c>
      <c r="C307" s="33">
        <f>C306</f>
        <v>10000</v>
      </c>
      <c r="D307" s="33">
        <f t="shared" ref="D307:BG307" si="1057">D306</f>
        <v>12500</v>
      </c>
      <c r="E307" s="33" t="e">
        <f t="shared" si="1057"/>
        <v>#REF!</v>
      </c>
      <c r="F307" s="33">
        <f t="shared" si="1057"/>
        <v>0</v>
      </c>
      <c r="G307" s="33">
        <f t="shared" si="1057"/>
        <v>0</v>
      </c>
      <c r="H307" s="33" t="e">
        <f t="shared" si="1057"/>
        <v>#REF!</v>
      </c>
      <c r="I307" s="33">
        <f t="shared" si="1057"/>
        <v>0</v>
      </c>
      <c r="J307" s="33">
        <f t="shared" si="1057"/>
        <v>0</v>
      </c>
      <c r="K307" s="33">
        <f t="shared" si="1057"/>
        <v>0</v>
      </c>
      <c r="L307" s="33">
        <f t="shared" si="1057"/>
        <v>0</v>
      </c>
      <c r="M307" s="33">
        <f t="shared" si="1057"/>
        <v>0</v>
      </c>
      <c r="N307" s="33">
        <f t="shared" si="1057"/>
        <v>0</v>
      </c>
      <c r="O307" s="33">
        <f t="shared" si="1057"/>
        <v>10000</v>
      </c>
      <c r="P307" s="33">
        <f t="shared" si="1057"/>
        <v>12500</v>
      </c>
      <c r="Q307" s="33">
        <f t="shared" si="1057"/>
        <v>22500</v>
      </c>
      <c r="R307" s="33">
        <f t="shared" si="1057"/>
        <v>2500</v>
      </c>
      <c r="S307" s="33">
        <f t="shared" si="1057"/>
        <v>9178.9700000000012</v>
      </c>
      <c r="T307" s="33">
        <f t="shared" si="1057"/>
        <v>0</v>
      </c>
      <c r="U307" s="33">
        <f t="shared" si="1057"/>
        <v>0</v>
      </c>
      <c r="V307" s="33">
        <f t="shared" si="1057"/>
        <v>0</v>
      </c>
      <c r="W307" s="33">
        <f t="shared" si="1057"/>
        <v>0</v>
      </c>
      <c r="X307" s="33">
        <f t="shared" si="1057"/>
        <v>0</v>
      </c>
      <c r="Y307" s="117">
        <f t="shared" si="1057"/>
        <v>0</v>
      </c>
      <c r="Z307" s="33">
        <f t="shared" si="1057"/>
        <v>100</v>
      </c>
      <c r="AA307" s="33">
        <f t="shared" si="1057"/>
        <v>100</v>
      </c>
      <c r="AB307" s="33">
        <f t="shared" si="1057"/>
        <v>0</v>
      </c>
      <c r="AC307" s="33">
        <f t="shared" si="1057"/>
        <v>0</v>
      </c>
      <c r="AD307" s="33">
        <f t="shared" si="1057"/>
        <v>0</v>
      </c>
      <c r="AE307" s="33">
        <f t="shared" si="1057"/>
        <v>0</v>
      </c>
      <c r="AF307" s="33">
        <f t="shared" si="1057"/>
        <v>0</v>
      </c>
      <c r="AG307" s="33">
        <f t="shared" si="1057"/>
        <v>0</v>
      </c>
      <c r="AH307" s="33">
        <f t="shared" si="1057"/>
        <v>7400</v>
      </c>
      <c r="AI307" s="33">
        <f t="shared" si="1057"/>
        <v>3221.03</v>
      </c>
      <c r="AJ307" s="33">
        <f t="shared" si="1057"/>
        <v>0</v>
      </c>
      <c r="AK307" s="33">
        <f t="shared" si="1057"/>
        <v>0</v>
      </c>
      <c r="AL307" s="33">
        <f t="shared" si="1057"/>
        <v>0</v>
      </c>
      <c r="AM307" s="33">
        <f t="shared" si="1057"/>
        <v>0</v>
      </c>
      <c r="AN307" s="33">
        <f t="shared" si="1057"/>
        <v>0</v>
      </c>
      <c r="AO307" s="33">
        <f t="shared" si="1057"/>
        <v>0</v>
      </c>
      <c r="AP307" s="33">
        <f t="shared" si="1057"/>
        <v>0</v>
      </c>
      <c r="AQ307" s="33">
        <f t="shared" si="1057"/>
        <v>0</v>
      </c>
      <c r="AR307" s="33">
        <f t="shared" si="1057"/>
        <v>0</v>
      </c>
      <c r="AS307" s="33">
        <f t="shared" si="1057"/>
        <v>0</v>
      </c>
      <c r="AT307" s="33">
        <f t="shared" si="1057"/>
        <v>0</v>
      </c>
      <c r="AU307" s="33">
        <f t="shared" si="1057"/>
        <v>0</v>
      </c>
      <c r="AV307" s="33">
        <f t="shared" si="1057"/>
        <v>0</v>
      </c>
      <c r="AW307" s="33">
        <f t="shared" si="1057"/>
        <v>0</v>
      </c>
      <c r="AX307" s="33">
        <f t="shared" si="1057"/>
        <v>0</v>
      </c>
      <c r="AY307" s="33">
        <f t="shared" si="1057"/>
        <v>0</v>
      </c>
      <c r="AZ307" s="33">
        <f t="shared" si="1057"/>
        <v>10000</v>
      </c>
      <c r="BA307" s="33">
        <f t="shared" si="1057"/>
        <v>12500.000000000002</v>
      </c>
      <c r="BB307" s="33">
        <f t="shared" si="1057"/>
        <v>0</v>
      </c>
      <c r="BC307" s="33">
        <f t="shared" si="1057"/>
        <v>0</v>
      </c>
      <c r="BD307" s="33">
        <f t="shared" si="1057"/>
        <v>0</v>
      </c>
      <c r="BE307" s="33">
        <f t="shared" si="1057"/>
        <v>0</v>
      </c>
      <c r="BF307" s="33">
        <f t="shared" si="1057"/>
        <v>0</v>
      </c>
      <c r="BG307" s="33">
        <f t="shared" si="1057"/>
        <v>0</v>
      </c>
      <c r="BH307" s="2"/>
      <c r="BI307" s="2"/>
      <c r="BJ307" s="2"/>
      <c r="BK307" s="2"/>
    </row>
    <row r="308" spans="1:63" s="34" customFormat="1" ht="20.100000000000001" hidden="1" customHeight="1" x14ac:dyDescent="0.3">
      <c r="A308" s="49"/>
      <c r="B308" s="50" t="s">
        <v>218</v>
      </c>
      <c r="C308" s="51" t="e">
        <f>C91+C137+C187+C225+C227+C242+C264+C267+C273+#REF!+C275+C305+C307</f>
        <v>#REF!</v>
      </c>
      <c r="D308" s="51" t="e">
        <f>D91+D137+D187+D225+D227+D242+D264+D267+D273+#REF!+D275+D305+D307</f>
        <v>#REF!</v>
      </c>
      <c r="E308" s="51" t="e">
        <f>E91+E137+E187+E225+E227+E242+E264+E267+E273+#REF!+E275+E305+E307</f>
        <v>#REF!</v>
      </c>
      <c r="F308" s="51" t="e">
        <f>F91+F137+F187+F225+F227+F242+F264+F267+F273+#REF!+F275+F305+F307</f>
        <v>#REF!</v>
      </c>
      <c r="G308" s="51" t="e">
        <f>G91+G137+G187+G225+G227+G242+G264+G267+G273+#REF!+G275+G305+G307</f>
        <v>#REF!</v>
      </c>
      <c r="H308" s="51" t="e">
        <f>H91+H137+H187+H225+H227+H242+H264+H267+H273+#REF!+H275+H305+H307</f>
        <v>#REF!</v>
      </c>
      <c r="I308" s="51" t="e">
        <f>I91+I137+I187+I225+I227+I242+I264+I267+I273+#REF!+I275+I305+I307</f>
        <v>#REF!</v>
      </c>
      <c r="J308" s="51" t="e">
        <f>J91+J137+J187+J225+J227+J242+J264+J267+J273+#REF!+J275+J305+J307</f>
        <v>#REF!</v>
      </c>
      <c r="K308" s="51" t="e">
        <f>K91+K137+K187+K225+K227+K242+K264+K267+K273+#REF!+K275+K305+K307</f>
        <v>#REF!</v>
      </c>
      <c r="L308" s="51" t="e">
        <f>L91+L137+L187+L225+L227+L242+L264+L267+L273+#REF!+L275+L305+L307</f>
        <v>#REF!</v>
      </c>
      <c r="M308" s="51" t="e">
        <f>M91+M137+M187+M225+M227+M242+M264+M267+M273+#REF!+M275+M305+M307</f>
        <v>#REF!</v>
      </c>
      <c r="N308" s="51" t="e">
        <f>N91+N137+N187+N225+N227+N242+N264+N267+N273+#REF!+N275+N305+N307</f>
        <v>#REF!</v>
      </c>
      <c r="O308" s="51" t="e">
        <f>O91+O137+O187+O225+O227+O242+O264+O267+O273+#REF!+O275+O305+O307</f>
        <v>#REF!</v>
      </c>
      <c r="P308" s="51" t="e">
        <f>P91+P137+P187+P225+P227+P242+P264+P267+P273+#REF!+P275+P305+P307</f>
        <v>#REF!</v>
      </c>
      <c r="Q308" s="51" t="e">
        <f>Q91+Q137+Q187+Q225+Q227+Q242+Q264+Q267+Q273+#REF!+Q275+Q305+Q307</f>
        <v>#REF!</v>
      </c>
      <c r="R308" s="51" t="e">
        <f>R91+R137+R187+R225+R227+R242+R264+R267+R273+#REF!+R275+R305+R307</f>
        <v>#REF!</v>
      </c>
      <c r="S308" s="51" t="e">
        <f>S91+S137+S187+S225+S227+S242+S264+S267+S273+#REF!+S275+S305+S307</f>
        <v>#REF!</v>
      </c>
      <c r="T308" s="51" t="e">
        <f>T91+T137+T187+T225+T227+T242+T264+T267+T273+#REF!+T275+T305+T307</f>
        <v>#REF!</v>
      </c>
      <c r="U308" s="51" t="e">
        <f>U91+U137+U187+U225+U227+U242+U264+U267+U273+#REF!+U275+U305+U307</f>
        <v>#REF!</v>
      </c>
      <c r="V308" s="51" t="e">
        <f>V91+V137+V187+V225+V227+V242+V264+V267+V273+#REF!+V275+V305+V307</f>
        <v>#REF!</v>
      </c>
      <c r="W308" s="51" t="e">
        <f>W91+W137+W187+W225+W227+W242+W264+W267+W273+#REF!+W275+W305+W307</f>
        <v>#REF!</v>
      </c>
      <c r="X308" s="51" t="e">
        <f>X91+X137+X187+X225+X227+X242+X264+X267+X273+#REF!+X275+X305+X307</f>
        <v>#REF!</v>
      </c>
      <c r="Y308" s="120" t="e">
        <f>Y91+Y137+Y187+Y225+Y227+Y242+Y264+Y267+Y273+#REF!+Y275+Y305+Y307</f>
        <v>#REF!</v>
      </c>
      <c r="Z308" s="127" t="e">
        <f t="shared" ref="Z308:Z309" si="1058">ROUND(C308*25%,2)</f>
        <v>#REF!</v>
      </c>
      <c r="AA308" s="127" t="e">
        <f t="shared" ref="AA308:AA309" si="1059">ROUND(D308*14.43%,2)</f>
        <v>#REF!</v>
      </c>
      <c r="AB308" s="127" t="e">
        <f t="shared" si="982"/>
        <v>#REF!</v>
      </c>
      <c r="AC308" s="129"/>
      <c r="AD308" s="129"/>
      <c r="AE308" s="129"/>
      <c r="AF308" s="129"/>
      <c r="AG308" s="127" t="e">
        <f t="shared" ref="AG308" si="1060">ROUND(M308*17.85%,2)</f>
        <v>#REF!</v>
      </c>
      <c r="AH308" s="127"/>
      <c r="AI308" s="127"/>
      <c r="AJ308" s="127"/>
      <c r="AK308" s="127"/>
      <c r="AL308" s="127"/>
      <c r="AM308" s="127"/>
      <c r="AN308" s="127"/>
      <c r="AO308" s="127" t="e">
        <f t="shared" ref="AO308:AO315" si="1061">ROUND(M308*25%,2)</f>
        <v>#REF!</v>
      </c>
      <c r="AP308" s="127"/>
      <c r="AQ308" s="127"/>
      <c r="AR308" s="127"/>
      <c r="AS308" s="127"/>
      <c r="AT308" s="127"/>
      <c r="AU308" s="127"/>
      <c r="AV308" s="127"/>
      <c r="AW308" s="127"/>
      <c r="AX308" s="127"/>
      <c r="AY308" s="127"/>
      <c r="AZ308" s="45"/>
      <c r="BA308" s="45"/>
      <c r="BB308" s="45"/>
      <c r="BC308" s="127" t="e">
        <f t="shared" ref="BC308" si="1062">+AS308+AK308+AC308+U308</f>
        <v>#REF!</v>
      </c>
      <c r="BD308" s="45"/>
      <c r="BE308" s="45"/>
      <c r="BF308" s="45"/>
      <c r="BG308" s="45"/>
      <c r="BH308" s="2"/>
      <c r="BI308" s="2"/>
      <c r="BJ308" s="2"/>
      <c r="BK308" s="2"/>
    </row>
    <row r="309" spans="1:63" s="34" customFormat="1" ht="20.100000000000001" customHeight="1" x14ac:dyDescent="0.3">
      <c r="A309" s="49"/>
      <c r="B309" s="50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120"/>
      <c r="Z309" s="127">
        <f t="shared" si="1058"/>
        <v>0</v>
      </c>
      <c r="AA309" s="127">
        <f t="shared" si="1059"/>
        <v>0</v>
      </c>
      <c r="AB309" s="129"/>
      <c r="AC309" s="129"/>
      <c r="AD309" s="129"/>
      <c r="AE309" s="129"/>
      <c r="AF309" s="129"/>
      <c r="AG309" s="129"/>
      <c r="AH309" s="129"/>
      <c r="AI309" s="129"/>
      <c r="AJ309" s="129"/>
      <c r="AK309" s="129"/>
      <c r="AL309" s="129"/>
      <c r="AM309" s="129"/>
      <c r="AN309" s="129"/>
      <c r="AO309" s="127">
        <f t="shared" si="1061"/>
        <v>0</v>
      </c>
      <c r="AP309" s="127"/>
      <c r="AQ309" s="127"/>
      <c r="AR309" s="127"/>
      <c r="AS309" s="127"/>
      <c r="AT309" s="127"/>
      <c r="AU309" s="129"/>
      <c r="AV309" s="129"/>
      <c r="AW309" s="129"/>
      <c r="AX309" s="129"/>
      <c r="AY309" s="129"/>
      <c r="AZ309" s="133"/>
      <c r="BA309" s="133"/>
      <c r="BB309" s="133"/>
      <c r="BC309" s="133"/>
      <c r="BD309" s="133"/>
      <c r="BE309" s="133"/>
      <c r="BF309" s="133"/>
      <c r="BG309" s="133"/>
    </row>
    <row r="310" spans="1:63" s="58" customFormat="1" ht="20.100000000000001" hidden="1" customHeight="1" x14ac:dyDescent="0.3">
      <c r="A310" s="57">
        <v>1</v>
      </c>
      <c r="B310" s="13" t="s">
        <v>232</v>
      </c>
      <c r="C310" s="3">
        <v>0</v>
      </c>
      <c r="D310" s="3">
        <v>0</v>
      </c>
      <c r="E310" s="14" t="e">
        <f>C310+D310+#REF!</f>
        <v>#REF!</v>
      </c>
      <c r="F310" s="3">
        <v>0</v>
      </c>
      <c r="G310" s="5">
        <v>0</v>
      </c>
      <c r="H310" s="3" t="e">
        <f>F310+G310+#REF!</f>
        <v>#REF!</v>
      </c>
      <c r="I310" s="3">
        <v>0</v>
      </c>
      <c r="J310" s="3">
        <v>0</v>
      </c>
      <c r="K310" s="3">
        <f>I310+J310</f>
        <v>0</v>
      </c>
      <c r="L310" s="5">
        <v>0</v>
      </c>
      <c r="M310" s="5">
        <v>0</v>
      </c>
      <c r="N310" s="3">
        <f>L310+M310</f>
        <v>0</v>
      </c>
      <c r="O310" s="3"/>
      <c r="P310" s="4">
        <f>D310+G310+J310+M310</f>
        <v>0</v>
      </c>
      <c r="Q310" s="3"/>
      <c r="R310" s="3">
        <v>0</v>
      </c>
      <c r="S310" s="3">
        <v>0</v>
      </c>
      <c r="T310" s="3">
        <v>0</v>
      </c>
      <c r="U310" s="5">
        <v>0</v>
      </c>
      <c r="V310" s="3">
        <v>0</v>
      </c>
      <c r="W310" s="3">
        <v>0</v>
      </c>
      <c r="X310" s="5">
        <v>0</v>
      </c>
      <c r="Y310" s="121">
        <v>0</v>
      </c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127">
        <f t="shared" si="1061"/>
        <v>0</v>
      </c>
      <c r="AP310" s="127"/>
      <c r="AQ310" s="127"/>
      <c r="AR310" s="127"/>
      <c r="AS310" s="127"/>
      <c r="AT310" s="127"/>
      <c r="AU310" s="3"/>
      <c r="AV310" s="3"/>
      <c r="AW310" s="3"/>
      <c r="AX310" s="3"/>
      <c r="AY310" s="3"/>
    </row>
    <row r="311" spans="1:63" s="58" customFormat="1" ht="20.100000000000001" hidden="1" customHeight="1" x14ac:dyDescent="0.3">
      <c r="A311" s="57">
        <v>2</v>
      </c>
      <c r="B311" s="12" t="s">
        <v>233</v>
      </c>
      <c r="C311" s="3">
        <v>1415</v>
      </c>
      <c r="D311" s="3">
        <v>16992</v>
      </c>
      <c r="E311" s="14" t="e">
        <f>C311+D311+#REF!</f>
        <v>#REF!</v>
      </c>
      <c r="F311" s="3">
        <v>2393</v>
      </c>
      <c r="G311" s="5">
        <v>6700</v>
      </c>
      <c r="H311" s="3" t="e">
        <f>F311+G311+#REF!</f>
        <v>#REF!</v>
      </c>
      <c r="I311" s="3"/>
      <c r="J311" s="3"/>
      <c r="K311" s="3">
        <f t="shared" ref="K311:K313" si="1063">I311+J311</f>
        <v>0</v>
      </c>
      <c r="L311" s="5"/>
      <c r="M311" s="5"/>
      <c r="N311" s="3">
        <f t="shared" ref="N311:N313" si="1064">L311+M311</f>
        <v>0</v>
      </c>
      <c r="O311" s="3"/>
      <c r="P311" s="4">
        <f>D311+G311+J311+M311</f>
        <v>23692</v>
      </c>
      <c r="Q311" s="3"/>
      <c r="R311" s="3">
        <v>1415</v>
      </c>
      <c r="S311" s="3">
        <v>16992</v>
      </c>
      <c r="T311" s="3">
        <v>2393</v>
      </c>
      <c r="U311" s="5">
        <v>6700</v>
      </c>
      <c r="V311" s="3"/>
      <c r="W311" s="3"/>
      <c r="X311" s="5"/>
      <c r="Y311" s="121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127">
        <f t="shared" si="1061"/>
        <v>0</v>
      </c>
      <c r="AP311" s="127"/>
      <c r="AQ311" s="127"/>
      <c r="AR311" s="127"/>
      <c r="AS311" s="127"/>
      <c r="AT311" s="127"/>
      <c r="AU311" s="3"/>
      <c r="AV311" s="3"/>
      <c r="AW311" s="3"/>
      <c r="AX311" s="3"/>
      <c r="AY311" s="3"/>
    </row>
    <row r="312" spans="1:63" s="58" customFormat="1" ht="20.100000000000001" hidden="1" customHeight="1" x14ac:dyDescent="0.3">
      <c r="A312" s="57">
        <v>3</v>
      </c>
      <c r="B312" s="12" t="s">
        <v>234</v>
      </c>
      <c r="C312" s="3">
        <v>156</v>
      </c>
      <c r="D312" s="3">
        <v>0</v>
      </c>
      <c r="E312" s="14" t="e">
        <f>C312+D312+#REF!</f>
        <v>#REF!</v>
      </c>
      <c r="F312" s="3"/>
      <c r="G312" s="5"/>
      <c r="H312" s="3" t="e">
        <f>F312+G312+#REF!</f>
        <v>#REF!</v>
      </c>
      <c r="I312" s="3"/>
      <c r="J312" s="3"/>
      <c r="K312" s="3">
        <f t="shared" si="1063"/>
        <v>0</v>
      </c>
      <c r="L312" s="5"/>
      <c r="M312" s="5"/>
      <c r="N312" s="3">
        <f t="shared" si="1064"/>
        <v>0</v>
      </c>
      <c r="O312" s="3"/>
      <c r="P312" s="4">
        <f>D312+G312+J312+M312</f>
        <v>0</v>
      </c>
      <c r="Q312" s="3"/>
      <c r="R312" s="3">
        <v>156</v>
      </c>
      <c r="S312" s="3">
        <v>0</v>
      </c>
      <c r="T312" s="3"/>
      <c r="U312" s="5"/>
      <c r="V312" s="3"/>
      <c r="W312" s="3"/>
      <c r="X312" s="5"/>
      <c r="Y312" s="121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127">
        <f t="shared" si="1061"/>
        <v>0</v>
      </c>
      <c r="AP312" s="127"/>
      <c r="AQ312" s="127"/>
      <c r="AR312" s="127"/>
      <c r="AS312" s="127"/>
      <c r="AT312" s="127"/>
      <c r="AU312" s="3"/>
      <c r="AV312" s="3"/>
      <c r="AW312" s="3"/>
      <c r="AX312" s="3"/>
      <c r="AY312" s="3"/>
    </row>
    <row r="313" spans="1:63" s="58" customFormat="1" ht="20.100000000000001" hidden="1" customHeight="1" x14ac:dyDescent="0.3">
      <c r="A313" s="57">
        <v>4</v>
      </c>
      <c r="B313" s="12" t="s">
        <v>235</v>
      </c>
      <c r="C313" s="3">
        <v>1570</v>
      </c>
      <c r="D313" s="3">
        <v>1490</v>
      </c>
      <c r="E313" s="14" t="e">
        <f>C313+D313+#REF!</f>
        <v>#REF!</v>
      </c>
      <c r="F313" s="3"/>
      <c r="G313" s="5"/>
      <c r="H313" s="3" t="e">
        <f>F313+G313+#REF!</f>
        <v>#REF!</v>
      </c>
      <c r="I313" s="3"/>
      <c r="J313" s="3"/>
      <c r="K313" s="3">
        <f t="shared" si="1063"/>
        <v>0</v>
      </c>
      <c r="L313" s="5"/>
      <c r="M313" s="5"/>
      <c r="N313" s="3">
        <f t="shared" si="1064"/>
        <v>0</v>
      </c>
      <c r="O313" s="3"/>
      <c r="P313" s="4">
        <f>D313+G313+J313+M313</f>
        <v>1490</v>
      </c>
      <c r="Q313" s="3"/>
      <c r="R313" s="3">
        <v>1570</v>
      </c>
      <c r="S313" s="3">
        <v>1490</v>
      </c>
      <c r="T313" s="3"/>
      <c r="U313" s="5"/>
      <c r="V313" s="3"/>
      <c r="W313" s="3"/>
      <c r="X313" s="5"/>
      <c r="Y313" s="121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127">
        <f t="shared" si="1061"/>
        <v>0</v>
      </c>
      <c r="AP313" s="127"/>
      <c r="AQ313" s="127"/>
      <c r="AR313" s="127"/>
      <c r="AS313" s="127"/>
      <c r="AT313" s="127"/>
      <c r="AU313" s="3"/>
      <c r="AV313" s="3"/>
      <c r="AW313" s="3"/>
      <c r="AX313" s="3"/>
      <c r="AY313" s="3"/>
    </row>
    <row r="314" spans="1:63" s="58" customFormat="1" ht="20.100000000000001" hidden="1" customHeight="1" x14ac:dyDescent="0.3">
      <c r="A314" s="57">
        <v>5</v>
      </c>
      <c r="B314" s="12" t="s">
        <v>236</v>
      </c>
      <c r="C314" s="14">
        <f>SUM(C310:C313)</f>
        <v>3141</v>
      </c>
      <c r="D314" s="14">
        <f t="shared" ref="D314:Q314" si="1065">SUM(D310:D313)</f>
        <v>18482</v>
      </c>
      <c r="E314" s="14" t="e">
        <f t="shared" si="1065"/>
        <v>#REF!</v>
      </c>
      <c r="F314" s="14">
        <f t="shared" si="1065"/>
        <v>2393</v>
      </c>
      <c r="G314" s="14">
        <f t="shared" si="1065"/>
        <v>6700</v>
      </c>
      <c r="H314" s="14" t="e">
        <f t="shared" si="1065"/>
        <v>#REF!</v>
      </c>
      <c r="I314" s="14">
        <f t="shared" si="1065"/>
        <v>0</v>
      </c>
      <c r="J314" s="14">
        <f t="shared" si="1065"/>
        <v>0</v>
      </c>
      <c r="K314" s="14">
        <f t="shared" si="1065"/>
        <v>0</v>
      </c>
      <c r="L314" s="14">
        <f t="shared" si="1065"/>
        <v>0</v>
      </c>
      <c r="M314" s="14">
        <f t="shared" si="1065"/>
        <v>0</v>
      </c>
      <c r="N314" s="14">
        <f t="shared" si="1065"/>
        <v>0</v>
      </c>
      <c r="O314" s="14">
        <f t="shared" si="1065"/>
        <v>0</v>
      </c>
      <c r="P314" s="14">
        <f t="shared" si="1065"/>
        <v>25182</v>
      </c>
      <c r="Q314" s="14">
        <f t="shared" si="1065"/>
        <v>0</v>
      </c>
      <c r="R314" s="14">
        <f>SUM(R310:R313)</f>
        <v>3141</v>
      </c>
      <c r="S314" s="14">
        <f t="shared" ref="S314:Y314" si="1066">SUM(S310:S313)</f>
        <v>18482</v>
      </c>
      <c r="T314" s="14">
        <f t="shared" si="1066"/>
        <v>2393</v>
      </c>
      <c r="U314" s="14">
        <f t="shared" si="1066"/>
        <v>6700</v>
      </c>
      <c r="V314" s="14">
        <f t="shared" si="1066"/>
        <v>0</v>
      </c>
      <c r="W314" s="14">
        <f t="shared" si="1066"/>
        <v>0</v>
      </c>
      <c r="X314" s="14">
        <f t="shared" si="1066"/>
        <v>0</v>
      </c>
      <c r="Y314" s="122">
        <f t="shared" si="1066"/>
        <v>0</v>
      </c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127">
        <f t="shared" si="1061"/>
        <v>0</v>
      </c>
      <c r="AP314" s="127"/>
      <c r="AQ314" s="127"/>
      <c r="AR314" s="127"/>
      <c r="AS314" s="127"/>
      <c r="AT314" s="127"/>
      <c r="AU314" s="3"/>
      <c r="AV314" s="3"/>
      <c r="AW314" s="3"/>
      <c r="AX314" s="3"/>
      <c r="AY314" s="3"/>
    </row>
    <row r="315" spans="1:63" s="62" customFormat="1" ht="20.100000000000001" hidden="1" customHeight="1" x14ac:dyDescent="0.3">
      <c r="A315" s="59"/>
      <c r="B315" s="60" t="s">
        <v>237</v>
      </c>
      <c r="C315" s="61" t="e">
        <f t="shared" ref="C315:Q315" si="1067">C308+C314</f>
        <v>#REF!</v>
      </c>
      <c r="D315" s="61" t="e">
        <f t="shared" si="1067"/>
        <v>#REF!</v>
      </c>
      <c r="E315" s="61" t="e">
        <f t="shared" si="1067"/>
        <v>#REF!</v>
      </c>
      <c r="F315" s="61" t="e">
        <f t="shared" si="1067"/>
        <v>#REF!</v>
      </c>
      <c r="G315" s="61" t="e">
        <f t="shared" si="1067"/>
        <v>#REF!</v>
      </c>
      <c r="H315" s="61" t="e">
        <f t="shared" si="1067"/>
        <v>#REF!</v>
      </c>
      <c r="I315" s="61" t="e">
        <f t="shared" si="1067"/>
        <v>#REF!</v>
      </c>
      <c r="J315" s="61" t="e">
        <f t="shared" si="1067"/>
        <v>#REF!</v>
      </c>
      <c r="K315" s="61" t="e">
        <f t="shared" si="1067"/>
        <v>#REF!</v>
      </c>
      <c r="L315" s="61" t="e">
        <f t="shared" si="1067"/>
        <v>#REF!</v>
      </c>
      <c r="M315" s="61" t="e">
        <f t="shared" si="1067"/>
        <v>#REF!</v>
      </c>
      <c r="N315" s="61" t="e">
        <f t="shared" si="1067"/>
        <v>#REF!</v>
      </c>
      <c r="O315" s="61" t="e">
        <f t="shared" si="1067"/>
        <v>#REF!</v>
      </c>
      <c r="P315" s="61" t="e">
        <f t="shared" si="1067"/>
        <v>#REF!</v>
      </c>
      <c r="Q315" s="61" t="e">
        <f t="shared" si="1067"/>
        <v>#REF!</v>
      </c>
      <c r="R315" s="61" t="e">
        <f t="shared" ref="R315:Y315" si="1068">R308+R314</f>
        <v>#REF!</v>
      </c>
      <c r="S315" s="61" t="e">
        <f t="shared" si="1068"/>
        <v>#REF!</v>
      </c>
      <c r="T315" s="61" t="e">
        <f t="shared" si="1068"/>
        <v>#REF!</v>
      </c>
      <c r="U315" s="61" t="e">
        <f t="shared" si="1068"/>
        <v>#REF!</v>
      </c>
      <c r="V315" s="61" t="e">
        <f t="shared" si="1068"/>
        <v>#REF!</v>
      </c>
      <c r="W315" s="61" t="e">
        <f t="shared" si="1068"/>
        <v>#REF!</v>
      </c>
      <c r="X315" s="61" t="e">
        <f t="shared" si="1068"/>
        <v>#REF!</v>
      </c>
      <c r="Y315" s="123" t="e">
        <f t="shared" si="1068"/>
        <v>#REF!</v>
      </c>
      <c r="Z315" s="102"/>
      <c r="AA315" s="102"/>
      <c r="AB315" s="102"/>
      <c r="AC315" s="102"/>
      <c r="AD315" s="102"/>
      <c r="AE315" s="102"/>
      <c r="AF315" s="102"/>
      <c r="AG315" s="102"/>
      <c r="AH315" s="102"/>
      <c r="AI315" s="102"/>
      <c r="AJ315" s="102"/>
      <c r="AK315" s="102"/>
      <c r="AL315" s="102"/>
      <c r="AM315" s="102"/>
      <c r="AN315" s="102"/>
      <c r="AO315" s="127" t="e">
        <f t="shared" si="1061"/>
        <v>#REF!</v>
      </c>
      <c r="AP315" s="127"/>
      <c r="AQ315" s="127"/>
      <c r="AR315" s="127"/>
      <c r="AS315" s="127"/>
      <c r="AT315" s="127"/>
      <c r="AU315" s="102"/>
      <c r="AV315" s="102"/>
      <c r="AW315" s="102"/>
      <c r="AX315" s="102"/>
      <c r="AY315" s="102"/>
    </row>
    <row r="316" spans="1:63" ht="20.100000000000001" customHeight="1" x14ac:dyDescent="0.3">
      <c r="B316" s="52"/>
      <c r="C316" s="53"/>
      <c r="D316" s="53"/>
      <c r="E316" s="54"/>
      <c r="F316" s="53"/>
      <c r="G316" s="55"/>
      <c r="H316" s="53"/>
      <c r="I316" s="53"/>
      <c r="J316" s="53"/>
      <c r="K316" s="53"/>
      <c r="L316" s="55"/>
      <c r="M316" s="55"/>
      <c r="N316" s="53"/>
      <c r="O316" s="53"/>
      <c r="P316" s="56"/>
      <c r="Q316" s="53"/>
      <c r="R316" s="53"/>
      <c r="S316" s="53"/>
      <c r="T316" s="53"/>
      <c r="U316" s="55"/>
      <c r="V316" s="53"/>
      <c r="W316" s="53"/>
      <c r="X316" s="55"/>
      <c r="Y316" s="124"/>
    </row>
    <row r="317" spans="1:63" ht="20.100000000000001" customHeight="1" x14ac:dyDescent="0.3">
      <c r="P317" s="10"/>
      <c r="AH317" s="3">
        <v>1.34</v>
      </c>
      <c r="AI317" s="3">
        <v>8.52</v>
      </c>
    </row>
    <row r="318" spans="1:63" ht="20.100000000000001" customHeight="1" x14ac:dyDescent="0.3">
      <c r="P318" s="10"/>
    </row>
    <row r="319" spans="1:63" ht="20.100000000000001" customHeight="1" x14ac:dyDescent="0.3">
      <c r="P319" s="10"/>
    </row>
    <row r="320" spans="1:63" ht="20.100000000000001" customHeight="1" x14ac:dyDescent="0.3">
      <c r="P320" s="10"/>
    </row>
    <row r="321" spans="16:27" ht="20.100000000000001" customHeight="1" x14ac:dyDescent="0.3">
      <c r="P321" s="10"/>
    </row>
    <row r="322" spans="16:27" ht="20.100000000000001" customHeight="1" x14ac:dyDescent="0.3">
      <c r="P322" s="10"/>
    </row>
    <row r="323" spans="16:27" ht="20.100000000000001" customHeight="1" x14ac:dyDescent="0.3">
      <c r="P323" s="10"/>
    </row>
    <row r="324" spans="16:27" ht="20.100000000000001" customHeight="1" x14ac:dyDescent="0.3">
      <c r="P324" s="10"/>
    </row>
    <row r="325" spans="16:27" ht="20.100000000000001" customHeight="1" x14ac:dyDescent="0.3">
      <c r="P325" s="10"/>
    </row>
    <row r="326" spans="16:27" ht="20.100000000000001" customHeight="1" x14ac:dyDescent="0.3">
      <c r="P326" s="10"/>
    </row>
    <row r="327" spans="16:27" ht="20.100000000000001" customHeight="1" x14ac:dyDescent="0.3">
      <c r="P327" s="10"/>
      <c r="AA327" s="3">
        <f>515.46/7161*100</f>
        <v>7.1981566820276495</v>
      </c>
    </row>
    <row r="328" spans="16:27" ht="20.100000000000001" customHeight="1" x14ac:dyDescent="0.3">
      <c r="P328" s="10"/>
    </row>
    <row r="329" spans="16:27" ht="20.100000000000001" customHeight="1" x14ac:dyDescent="0.3">
      <c r="P329" s="10"/>
    </row>
    <row r="330" spans="16:27" ht="20.100000000000001" customHeight="1" x14ac:dyDescent="0.3">
      <c r="P330" s="10"/>
    </row>
    <row r="331" spans="16:27" ht="20.100000000000001" customHeight="1" x14ac:dyDescent="0.3">
      <c r="P331" s="10"/>
    </row>
    <row r="332" spans="16:27" ht="20.100000000000001" customHeight="1" x14ac:dyDescent="0.3">
      <c r="P332" s="10"/>
    </row>
    <row r="333" spans="16:27" ht="20.100000000000001" customHeight="1" x14ac:dyDescent="0.3">
      <c r="P333" s="10"/>
    </row>
    <row r="334" spans="16:27" ht="20.100000000000001" customHeight="1" x14ac:dyDescent="0.3">
      <c r="P334" s="10"/>
    </row>
    <row r="335" spans="16:27" ht="20.100000000000001" customHeight="1" x14ac:dyDescent="0.3">
      <c r="P335" s="10"/>
    </row>
    <row r="336" spans="16:27" ht="20.100000000000001" customHeight="1" x14ac:dyDescent="0.3">
      <c r="P336" s="10"/>
    </row>
    <row r="337" spans="16:16" ht="20.100000000000001" customHeight="1" x14ac:dyDescent="0.3">
      <c r="P337" s="10"/>
    </row>
    <row r="338" spans="16:16" ht="20.100000000000001" customHeight="1" x14ac:dyDescent="0.3">
      <c r="P338" s="10"/>
    </row>
    <row r="339" spans="16:16" ht="20.100000000000001" customHeight="1" x14ac:dyDescent="0.3">
      <c r="P339" s="10"/>
    </row>
    <row r="340" spans="16:16" ht="20.100000000000001" customHeight="1" x14ac:dyDescent="0.3">
      <c r="P340" s="10"/>
    </row>
    <row r="341" spans="16:16" ht="20.100000000000001" customHeight="1" x14ac:dyDescent="0.3">
      <c r="P341" s="10"/>
    </row>
    <row r="342" spans="16:16" ht="20.100000000000001" customHeight="1" x14ac:dyDescent="0.3">
      <c r="P342" s="10"/>
    </row>
    <row r="343" spans="16:16" ht="20.100000000000001" customHeight="1" x14ac:dyDescent="0.3">
      <c r="P343" s="10"/>
    </row>
    <row r="344" spans="16:16" ht="20.100000000000001" customHeight="1" x14ac:dyDescent="0.3">
      <c r="P344" s="10"/>
    </row>
    <row r="345" spans="16:16" ht="20.100000000000001" customHeight="1" x14ac:dyDescent="0.3">
      <c r="P345" s="10"/>
    </row>
    <row r="346" spans="16:16" ht="20.100000000000001" customHeight="1" x14ac:dyDescent="0.3">
      <c r="P346" s="10"/>
    </row>
    <row r="347" spans="16:16" ht="20.100000000000001" customHeight="1" x14ac:dyDescent="0.3">
      <c r="P347" s="10"/>
    </row>
    <row r="348" spans="16:16" ht="20.100000000000001" customHeight="1" x14ac:dyDescent="0.3">
      <c r="P348" s="10"/>
    </row>
    <row r="349" spans="16:16" ht="20.100000000000001" customHeight="1" x14ac:dyDescent="0.3">
      <c r="P349" s="10"/>
    </row>
    <row r="350" spans="16:16" ht="20.100000000000001" customHeight="1" x14ac:dyDescent="0.3">
      <c r="P350" s="10"/>
    </row>
    <row r="351" spans="16:16" ht="20.100000000000001" customHeight="1" x14ac:dyDescent="0.3">
      <c r="P351" s="10"/>
    </row>
    <row r="352" spans="16:16" ht="20.100000000000001" customHeight="1" x14ac:dyDescent="0.3">
      <c r="P352" s="10"/>
    </row>
    <row r="353" spans="16:16" ht="20.100000000000001" customHeight="1" x14ac:dyDescent="0.3">
      <c r="P353" s="10"/>
    </row>
    <row r="354" spans="16:16" ht="20.100000000000001" customHeight="1" x14ac:dyDescent="0.3">
      <c r="P354" s="10"/>
    </row>
    <row r="355" spans="16:16" ht="20.100000000000001" customHeight="1" x14ac:dyDescent="0.3">
      <c r="P355" s="10"/>
    </row>
    <row r="356" spans="16:16" ht="20.100000000000001" customHeight="1" x14ac:dyDescent="0.3">
      <c r="P356" s="10"/>
    </row>
    <row r="357" spans="16:16" ht="20.100000000000001" customHeight="1" x14ac:dyDescent="0.3">
      <c r="P357" s="10"/>
    </row>
    <row r="358" spans="16:16" ht="20.100000000000001" customHeight="1" x14ac:dyDescent="0.3">
      <c r="P358" s="10"/>
    </row>
    <row r="359" spans="16:16" ht="20.100000000000001" customHeight="1" x14ac:dyDescent="0.3">
      <c r="P359" s="10"/>
    </row>
    <row r="360" spans="16:16" ht="20.100000000000001" customHeight="1" x14ac:dyDescent="0.3">
      <c r="P360" s="10"/>
    </row>
    <row r="361" spans="16:16" ht="20.100000000000001" customHeight="1" x14ac:dyDescent="0.3">
      <c r="P361" s="10"/>
    </row>
    <row r="362" spans="16:16" ht="20.100000000000001" customHeight="1" x14ac:dyDescent="0.3">
      <c r="P362" s="10"/>
    </row>
    <row r="363" spans="16:16" ht="20.100000000000001" customHeight="1" x14ac:dyDescent="0.3">
      <c r="P363" s="10"/>
    </row>
    <row r="364" spans="16:16" ht="20.100000000000001" customHeight="1" x14ac:dyDescent="0.3">
      <c r="P364" s="10"/>
    </row>
    <row r="365" spans="16:16" ht="20.100000000000001" customHeight="1" x14ac:dyDescent="0.3">
      <c r="P365" s="10"/>
    </row>
    <row r="366" spans="16:16" ht="20.100000000000001" customHeight="1" x14ac:dyDescent="0.3">
      <c r="P366" s="10"/>
    </row>
    <row r="367" spans="16:16" ht="20.100000000000001" customHeight="1" x14ac:dyDescent="0.3">
      <c r="P367" s="10"/>
    </row>
    <row r="368" spans="16:16" ht="20.100000000000001" customHeight="1" x14ac:dyDescent="0.3">
      <c r="P368" s="10"/>
    </row>
    <row r="369" spans="16:16" ht="20.100000000000001" customHeight="1" x14ac:dyDescent="0.3">
      <c r="P369" s="10"/>
    </row>
    <row r="370" spans="16:16" ht="20.100000000000001" customHeight="1" x14ac:dyDescent="0.3">
      <c r="P370" s="10"/>
    </row>
    <row r="371" spans="16:16" ht="20.100000000000001" customHeight="1" x14ac:dyDescent="0.3">
      <c r="P371" s="10"/>
    </row>
    <row r="372" spans="16:16" ht="20.100000000000001" customHeight="1" x14ac:dyDescent="0.3">
      <c r="P372" s="10"/>
    </row>
    <row r="373" spans="16:16" ht="20.100000000000001" customHeight="1" x14ac:dyDescent="0.3">
      <c r="P373" s="10"/>
    </row>
    <row r="374" spans="16:16" ht="20.100000000000001" customHeight="1" x14ac:dyDescent="0.3">
      <c r="P374" s="10"/>
    </row>
    <row r="375" spans="16:16" ht="20.100000000000001" customHeight="1" x14ac:dyDescent="0.3">
      <c r="P375" s="10"/>
    </row>
    <row r="376" spans="16:16" ht="20.100000000000001" customHeight="1" x14ac:dyDescent="0.3">
      <c r="P376" s="10"/>
    </row>
    <row r="377" spans="16:16" ht="20.100000000000001" customHeight="1" x14ac:dyDescent="0.3">
      <c r="P377" s="10"/>
    </row>
    <row r="378" spans="16:16" ht="20.100000000000001" customHeight="1" x14ac:dyDescent="0.3">
      <c r="P378" s="10"/>
    </row>
    <row r="379" spans="16:16" ht="20.100000000000001" customHeight="1" x14ac:dyDescent="0.3">
      <c r="P379" s="10"/>
    </row>
    <row r="380" spans="16:16" ht="20.100000000000001" customHeight="1" x14ac:dyDescent="0.3">
      <c r="P380" s="10"/>
    </row>
    <row r="381" spans="16:16" ht="20.100000000000001" customHeight="1" x14ac:dyDescent="0.3">
      <c r="P381" s="10"/>
    </row>
    <row r="382" spans="16:16" ht="20.100000000000001" customHeight="1" x14ac:dyDescent="0.3">
      <c r="P382" s="10"/>
    </row>
    <row r="383" spans="16:16" ht="20.100000000000001" customHeight="1" x14ac:dyDescent="0.3">
      <c r="P383" s="10"/>
    </row>
    <row r="384" spans="16:16" ht="20.100000000000001" customHeight="1" x14ac:dyDescent="0.3">
      <c r="P384" s="10"/>
    </row>
    <row r="385" spans="16:16" ht="20.100000000000001" customHeight="1" x14ac:dyDescent="0.3">
      <c r="P385" s="10"/>
    </row>
    <row r="386" spans="16:16" ht="20.100000000000001" customHeight="1" x14ac:dyDescent="0.3">
      <c r="P386" s="10"/>
    </row>
    <row r="387" spans="16:16" ht="20.100000000000001" customHeight="1" x14ac:dyDescent="0.3">
      <c r="P387" s="10"/>
    </row>
    <row r="388" spans="16:16" ht="20.100000000000001" customHeight="1" x14ac:dyDescent="0.3">
      <c r="P388" s="10"/>
    </row>
    <row r="389" spans="16:16" ht="20.100000000000001" customHeight="1" x14ac:dyDescent="0.3">
      <c r="P389" s="10"/>
    </row>
    <row r="390" spans="16:16" ht="20.100000000000001" customHeight="1" x14ac:dyDescent="0.3">
      <c r="P390" s="10"/>
    </row>
    <row r="391" spans="16:16" ht="20.100000000000001" customHeight="1" x14ac:dyDescent="0.3">
      <c r="P391" s="10"/>
    </row>
    <row r="392" spans="16:16" ht="20.100000000000001" customHeight="1" x14ac:dyDescent="0.3">
      <c r="P392" s="10"/>
    </row>
    <row r="393" spans="16:16" ht="20.100000000000001" customHeight="1" x14ac:dyDescent="0.3">
      <c r="P393" s="10"/>
    </row>
    <row r="394" spans="16:16" ht="20.100000000000001" customHeight="1" x14ac:dyDescent="0.3">
      <c r="P394" s="10"/>
    </row>
    <row r="395" spans="16:16" ht="20.100000000000001" customHeight="1" x14ac:dyDescent="0.3">
      <c r="P395" s="10"/>
    </row>
    <row r="396" spans="16:16" ht="20.100000000000001" customHeight="1" x14ac:dyDescent="0.3">
      <c r="P396" s="10"/>
    </row>
    <row r="397" spans="16:16" ht="20.100000000000001" customHeight="1" x14ac:dyDescent="0.3">
      <c r="P397" s="10"/>
    </row>
    <row r="398" spans="16:16" ht="20.100000000000001" customHeight="1" x14ac:dyDescent="0.3">
      <c r="P398" s="10"/>
    </row>
    <row r="399" spans="16:16" ht="20.100000000000001" customHeight="1" x14ac:dyDescent="0.3">
      <c r="P399" s="10"/>
    </row>
    <row r="400" spans="16:16" ht="20.100000000000001" customHeight="1" x14ac:dyDescent="0.3">
      <c r="P400" s="10"/>
    </row>
    <row r="401" spans="16:16" ht="20.100000000000001" customHeight="1" x14ac:dyDescent="0.3">
      <c r="P401" s="10"/>
    </row>
    <row r="402" spans="16:16" ht="20.100000000000001" customHeight="1" x14ac:dyDescent="0.3">
      <c r="P402" s="10"/>
    </row>
    <row r="403" spans="16:16" ht="20.100000000000001" customHeight="1" x14ac:dyDescent="0.3">
      <c r="P403" s="10"/>
    </row>
    <row r="404" spans="16:16" ht="20.100000000000001" customHeight="1" x14ac:dyDescent="0.3">
      <c r="P404" s="10"/>
    </row>
    <row r="405" spans="16:16" ht="20.100000000000001" customHeight="1" x14ac:dyDescent="0.3">
      <c r="P405" s="10"/>
    </row>
    <row r="406" spans="16:16" ht="20.100000000000001" customHeight="1" x14ac:dyDescent="0.3">
      <c r="P406" s="10"/>
    </row>
    <row r="407" spans="16:16" ht="20.100000000000001" customHeight="1" x14ac:dyDescent="0.3">
      <c r="P407" s="10"/>
    </row>
    <row r="408" spans="16:16" ht="20.100000000000001" customHeight="1" x14ac:dyDescent="0.3">
      <c r="P408" s="10"/>
    </row>
    <row r="409" spans="16:16" ht="20.100000000000001" customHeight="1" x14ac:dyDescent="0.3">
      <c r="P409" s="10"/>
    </row>
    <row r="410" spans="16:16" ht="20.100000000000001" customHeight="1" x14ac:dyDescent="0.3">
      <c r="P410" s="10"/>
    </row>
    <row r="411" spans="16:16" ht="20.100000000000001" customHeight="1" x14ac:dyDescent="0.3">
      <c r="P411" s="10"/>
    </row>
    <row r="412" spans="16:16" ht="20.100000000000001" customHeight="1" x14ac:dyDescent="0.3">
      <c r="P412" s="10"/>
    </row>
    <row r="413" spans="16:16" ht="20.100000000000001" customHeight="1" x14ac:dyDescent="0.3">
      <c r="P413" s="10"/>
    </row>
    <row r="414" spans="16:16" ht="20.100000000000001" customHeight="1" x14ac:dyDescent="0.3">
      <c r="P414" s="10"/>
    </row>
    <row r="415" spans="16:16" ht="20.100000000000001" customHeight="1" x14ac:dyDescent="0.3">
      <c r="P415" s="10"/>
    </row>
    <row r="416" spans="16:16" ht="20.100000000000001" customHeight="1" x14ac:dyDescent="0.3">
      <c r="P416" s="10"/>
    </row>
    <row r="417" spans="16:16" ht="20.100000000000001" customHeight="1" x14ac:dyDescent="0.3">
      <c r="P417" s="10"/>
    </row>
    <row r="418" spans="16:16" ht="20.100000000000001" customHeight="1" x14ac:dyDescent="0.3">
      <c r="P418" s="10"/>
    </row>
    <row r="419" spans="16:16" ht="20.100000000000001" customHeight="1" x14ac:dyDescent="0.3">
      <c r="P419" s="10"/>
    </row>
    <row r="420" spans="16:16" ht="20.100000000000001" customHeight="1" x14ac:dyDescent="0.3">
      <c r="P420" s="10"/>
    </row>
    <row r="421" spans="16:16" ht="20.100000000000001" customHeight="1" x14ac:dyDescent="0.3">
      <c r="P421" s="10"/>
    </row>
    <row r="422" spans="16:16" ht="20.100000000000001" customHeight="1" x14ac:dyDescent="0.3">
      <c r="P422" s="10"/>
    </row>
    <row r="423" spans="16:16" ht="20.100000000000001" customHeight="1" x14ac:dyDescent="0.3">
      <c r="P423" s="10"/>
    </row>
    <row r="424" spans="16:16" ht="20.100000000000001" customHeight="1" x14ac:dyDescent="0.3">
      <c r="P424" s="10"/>
    </row>
    <row r="425" spans="16:16" ht="20.100000000000001" customHeight="1" x14ac:dyDescent="0.3">
      <c r="P425" s="10"/>
    </row>
    <row r="426" spans="16:16" ht="20.100000000000001" customHeight="1" x14ac:dyDescent="0.3">
      <c r="P426" s="10"/>
    </row>
    <row r="427" spans="16:16" ht="20.100000000000001" customHeight="1" x14ac:dyDescent="0.3">
      <c r="P427" s="10"/>
    </row>
    <row r="428" spans="16:16" ht="20.100000000000001" customHeight="1" x14ac:dyDescent="0.3">
      <c r="P428" s="10"/>
    </row>
    <row r="429" spans="16:16" ht="20.100000000000001" customHeight="1" x14ac:dyDescent="0.3">
      <c r="P429" s="10"/>
    </row>
    <row r="430" spans="16:16" ht="20.100000000000001" customHeight="1" x14ac:dyDescent="0.3">
      <c r="P430" s="10"/>
    </row>
    <row r="431" spans="16:16" ht="20.100000000000001" customHeight="1" x14ac:dyDescent="0.3">
      <c r="P431" s="10"/>
    </row>
    <row r="432" spans="16:16" ht="20.100000000000001" customHeight="1" x14ac:dyDescent="0.3">
      <c r="P432" s="10"/>
    </row>
    <row r="433" spans="16:16" ht="20.100000000000001" customHeight="1" x14ac:dyDescent="0.3">
      <c r="P433" s="10"/>
    </row>
    <row r="434" spans="16:16" ht="20.100000000000001" customHeight="1" x14ac:dyDescent="0.3">
      <c r="P434" s="10"/>
    </row>
    <row r="435" spans="16:16" ht="20.100000000000001" customHeight="1" x14ac:dyDescent="0.3">
      <c r="P435" s="10"/>
    </row>
    <row r="436" spans="16:16" ht="20.100000000000001" customHeight="1" x14ac:dyDescent="0.3">
      <c r="P436" s="10"/>
    </row>
    <row r="437" spans="16:16" ht="20.100000000000001" customHeight="1" x14ac:dyDescent="0.3">
      <c r="P437" s="10"/>
    </row>
    <row r="438" spans="16:16" ht="20.100000000000001" customHeight="1" x14ac:dyDescent="0.3">
      <c r="P438" s="10"/>
    </row>
    <row r="439" spans="16:16" ht="20.100000000000001" customHeight="1" x14ac:dyDescent="0.3">
      <c r="P439" s="10"/>
    </row>
    <row r="440" spans="16:16" ht="20.100000000000001" customHeight="1" x14ac:dyDescent="0.3">
      <c r="P440" s="10"/>
    </row>
    <row r="441" spans="16:16" ht="20.100000000000001" customHeight="1" x14ac:dyDescent="0.3">
      <c r="P441" s="10"/>
    </row>
    <row r="442" spans="16:16" ht="20.100000000000001" customHeight="1" x14ac:dyDescent="0.3">
      <c r="P442" s="10"/>
    </row>
    <row r="443" spans="16:16" ht="20.100000000000001" customHeight="1" x14ac:dyDescent="0.3">
      <c r="P443" s="10"/>
    </row>
    <row r="444" spans="16:16" ht="20.100000000000001" customHeight="1" x14ac:dyDescent="0.3">
      <c r="P444" s="10"/>
    </row>
    <row r="445" spans="16:16" ht="20.100000000000001" customHeight="1" x14ac:dyDescent="0.3">
      <c r="P445" s="10"/>
    </row>
    <row r="446" spans="16:16" ht="20.100000000000001" customHeight="1" x14ac:dyDescent="0.3">
      <c r="P446" s="10"/>
    </row>
    <row r="447" spans="16:16" ht="20.100000000000001" customHeight="1" x14ac:dyDescent="0.3">
      <c r="P447" s="10"/>
    </row>
    <row r="448" spans="16:16" ht="20.100000000000001" customHeight="1" x14ac:dyDescent="0.3">
      <c r="P448" s="10"/>
    </row>
    <row r="449" spans="16:16" ht="20.100000000000001" customHeight="1" x14ac:dyDescent="0.3">
      <c r="P449" s="10"/>
    </row>
    <row r="450" spans="16:16" ht="20.100000000000001" customHeight="1" x14ac:dyDescent="0.3">
      <c r="P450" s="10"/>
    </row>
    <row r="451" spans="16:16" ht="20.100000000000001" customHeight="1" x14ac:dyDescent="0.3">
      <c r="P451" s="10"/>
    </row>
    <row r="452" spans="16:16" ht="20.100000000000001" customHeight="1" x14ac:dyDescent="0.3">
      <c r="P452" s="10"/>
    </row>
    <row r="453" spans="16:16" ht="20.100000000000001" customHeight="1" x14ac:dyDescent="0.3">
      <c r="P453" s="10"/>
    </row>
    <row r="454" spans="16:16" ht="20.100000000000001" customHeight="1" x14ac:dyDescent="0.3">
      <c r="P454" s="10"/>
    </row>
    <row r="455" spans="16:16" ht="20.100000000000001" customHeight="1" x14ac:dyDescent="0.3">
      <c r="P455" s="10"/>
    </row>
    <row r="456" spans="16:16" ht="20.100000000000001" customHeight="1" x14ac:dyDescent="0.3">
      <c r="P456" s="10"/>
    </row>
    <row r="457" spans="16:16" ht="20.100000000000001" customHeight="1" x14ac:dyDescent="0.3">
      <c r="P457" s="10"/>
    </row>
    <row r="458" spans="16:16" ht="20.100000000000001" customHeight="1" x14ac:dyDescent="0.3">
      <c r="P458" s="10"/>
    </row>
    <row r="459" spans="16:16" ht="20.100000000000001" customHeight="1" x14ac:dyDescent="0.3">
      <c r="P459" s="10"/>
    </row>
    <row r="460" spans="16:16" ht="20.100000000000001" customHeight="1" x14ac:dyDescent="0.3">
      <c r="P460" s="10"/>
    </row>
    <row r="461" spans="16:16" ht="20.100000000000001" customHeight="1" x14ac:dyDescent="0.3">
      <c r="P461" s="10"/>
    </row>
    <row r="462" spans="16:16" ht="20.100000000000001" customHeight="1" x14ac:dyDescent="0.3">
      <c r="P462" s="10"/>
    </row>
    <row r="463" spans="16:16" ht="20.100000000000001" customHeight="1" x14ac:dyDescent="0.3">
      <c r="P463" s="10"/>
    </row>
    <row r="464" spans="16:16" ht="20.100000000000001" customHeight="1" x14ac:dyDescent="0.3">
      <c r="P464" s="10"/>
    </row>
    <row r="465" spans="16:16" ht="20.100000000000001" customHeight="1" x14ac:dyDescent="0.3">
      <c r="P465" s="10"/>
    </row>
    <row r="466" spans="16:16" ht="20.100000000000001" customHeight="1" x14ac:dyDescent="0.3">
      <c r="P466" s="10"/>
    </row>
    <row r="467" spans="16:16" ht="20.100000000000001" customHeight="1" x14ac:dyDescent="0.3">
      <c r="P467" s="10"/>
    </row>
    <row r="468" spans="16:16" ht="20.100000000000001" customHeight="1" x14ac:dyDescent="0.3">
      <c r="P468" s="10"/>
    </row>
    <row r="469" spans="16:16" ht="20.100000000000001" customHeight="1" x14ac:dyDescent="0.3">
      <c r="P469" s="10"/>
    </row>
    <row r="470" spans="16:16" ht="20.100000000000001" customHeight="1" x14ac:dyDescent="0.3">
      <c r="P470" s="10"/>
    </row>
    <row r="471" spans="16:16" ht="20.100000000000001" customHeight="1" x14ac:dyDescent="0.3">
      <c r="P471" s="10"/>
    </row>
    <row r="472" spans="16:16" ht="20.100000000000001" customHeight="1" x14ac:dyDescent="0.3">
      <c r="P472" s="10"/>
    </row>
    <row r="473" spans="16:16" ht="20.100000000000001" customHeight="1" x14ac:dyDescent="0.3">
      <c r="P473" s="10"/>
    </row>
    <row r="474" spans="16:16" ht="20.100000000000001" customHeight="1" x14ac:dyDescent="0.3">
      <c r="P474" s="10"/>
    </row>
    <row r="475" spans="16:16" ht="20.100000000000001" customHeight="1" x14ac:dyDescent="0.3">
      <c r="P475" s="10"/>
    </row>
    <row r="476" spans="16:16" ht="20.100000000000001" customHeight="1" x14ac:dyDescent="0.3">
      <c r="P476" s="10"/>
    </row>
    <row r="477" spans="16:16" ht="20.100000000000001" customHeight="1" x14ac:dyDescent="0.3">
      <c r="P477" s="10"/>
    </row>
    <row r="478" spans="16:16" ht="20.100000000000001" customHeight="1" x14ac:dyDescent="0.3">
      <c r="P478" s="10"/>
    </row>
    <row r="479" spans="16:16" ht="20.100000000000001" customHeight="1" x14ac:dyDescent="0.3">
      <c r="P479" s="10"/>
    </row>
    <row r="480" spans="16:16" ht="20.100000000000001" customHeight="1" x14ac:dyDescent="0.3">
      <c r="P480" s="10"/>
    </row>
    <row r="481" spans="16:16" ht="20.100000000000001" customHeight="1" x14ac:dyDescent="0.3">
      <c r="P481" s="10"/>
    </row>
    <row r="482" spans="16:16" ht="20.100000000000001" customHeight="1" x14ac:dyDescent="0.3">
      <c r="P482" s="10"/>
    </row>
    <row r="483" spans="16:16" ht="20.100000000000001" customHeight="1" x14ac:dyDescent="0.3">
      <c r="P483" s="10"/>
    </row>
    <row r="484" spans="16:16" ht="20.100000000000001" customHeight="1" x14ac:dyDescent="0.3">
      <c r="P484" s="10"/>
    </row>
    <row r="485" spans="16:16" ht="20.100000000000001" customHeight="1" x14ac:dyDescent="0.3">
      <c r="P485" s="10"/>
    </row>
    <row r="486" spans="16:16" ht="20.100000000000001" customHeight="1" x14ac:dyDescent="0.3">
      <c r="P486" s="10"/>
    </row>
    <row r="487" spans="16:16" ht="20.100000000000001" customHeight="1" x14ac:dyDescent="0.3">
      <c r="P487" s="10"/>
    </row>
    <row r="488" spans="16:16" ht="20.100000000000001" customHeight="1" x14ac:dyDescent="0.3">
      <c r="P488" s="10"/>
    </row>
    <row r="489" spans="16:16" ht="20.100000000000001" customHeight="1" x14ac:dyDescent="0.3">
      <c r="P489" s="10"/>
    </row>
    <row r="490" spans="16:16" ht="20.100000000000001" customHeight="1" x14ac:dyDescent="0.3">
      <c r="P490" s="10"/>
    </row>
    <row r="491" spans="16:16" ht="20.100000000000001" customHeight="1" x14ac:dyDescent="0.3">
      <c r="P491" s="10"/>
    </row>
    <row r="492" spans="16:16" ht="20.100000000000001" customHeight="1" x14ac:dyDescent="0.3">
      <c r="P492" s="10"/>
    </row>
    <row r="493" spans="16:16" ht="20.100000000000001" customHeight="1" x14ac:dyDescent="0.3">
      <c r="P493" s="10"/>
    </row>
    <row r="494" spans="16:16" ht="20.100000000000001" customHeight="1" x14ac:dyDescent="0.3">
      <c r="P494" s="10"/>
    </row>
    <row r="495" spans="16:16" ht="20.100000000000001" customHeight="1" x14ac:dyDescent="0.3">
      <c r="P495" s="10"/>
    </row>
    <row r="496" spans="16:16" ht="20.100000000000001" customHeight="1" x14ac:dyDescent="0.3">
      <c r="P496" s="10"/>
    </row>
    <row r="497" spans="16:16" ht="20.100000000000001" customHeight="1" x14ac:dyDescent="0.3">
      <c r="P497" s="10"/>
    </row>
    <row r="498" spans="16:16" ht="20.100000000000001" customHeight="1" x14ac:dyDescent="0.3">
      <c r="P498" s="10"/>
    </row>
    <row r="499" spans="16:16" ht="20.100000000000001" customHeight="1" x14ac:dyDescent="0.3">
      <c r="P499" s="10"/>
    </row>
    <row r="500" spans="16:16" ht="20.100000000000001" customHeight="1" x14ac:dyDescent="0.3">
      <c r="P500" s="10"/>
    </row>
    <row r="501" spans="16:16" ht="20.100000000000001" customHeight="1" x14ac:dyDescent="0.3">
      <c r="P501" s="10"/>
    </row>
    <row r="502" spans="16:16" ht="20.100000000000001" customHeight="1" x14ac:dyDescent="0.3">
      <c r="P502" s="10"/>
    </row>
    <row r="503" spans="16:16" ht="20.100000000000001" customHeight="1" x14ac:dyDescent="0.3">
      <c r="P503" s="10"/>
    </row>
    <row r="504" spans="16:16" ht="20.100000000000001" customHeight="1" x14ac:dyDescent="0.3">
      <c r="P504" s="10"/>
    </row>
    <row r="505" spans="16:16" ht="20.100000000000001" customHeight="1" x14ac:dyDescent="0.3">
      <c r="P505" s="10"/>
    </row>
    <row r="506" spans="16:16" ht="20.100000000000001" customHeight="1" x14ac:dyDescent="0.3">
      <c r="P506" s="10"/>
    </row>
    <row r="507" spans="16:16" ht="20.100000000000001" customHeight="1" x14ac:dyDescent="0.3">
      <c r="P507" s="10"/>
    </row>
    <row r="508" spans="16:16" ht="20.100000000000001" customHeight="1" x14ac:dyDescent="0.3">
      <c r="P508" s="10"/>
    </row>
    <row r="509" spans="16:16" ht="20.100000000000001" customHeight="1" x14ac:dyDescent="0.3">
      <c r="P509" s="10"/>
    </row>
    <row r="510" spans="16:16" ht="20.100000000000001" customHeight="1" x14ac:dyDescent="0.3">
      <c r="P510" s="10"/>
    </row>
    <row r="511" spans="16:16" ht="20.100000000000001" customHeight="1" x14ac:dyDescent="0.3">
      <c r="P511" s="10"/>
    </row>
    <row r="512" spans="16:16" ht="20.100000000000001" customHeight="1" x14ac:dyDescent="0.3">
      <c r="P512" s="10"/>
    </row>
    <row r="513" spans="16:16" ht="20.100000000000001" customHeight="1" x14ac:dyDescent="0.3">
      <c r="P513" s="10"/>
    </row>
    <row r="514" spans="16:16" ht="20.100000000000001" customHeight="1" x14ac:dyDescent="0.3">
      <c r="P514" s="10"/>
    </row>
    <row r="515" spans="16:16" ht="20.100000000000001" customHeight="1" x14ac:dyDescent="0.3">
      <c r="P515" s="10"/>
    </row>
    <row r="516" spans="16:16" ht="20.100000000000001" customHeight="1" x14ac:dyDescent="0.3">
      <c r="P516" s="10"/>
    </row>
    <row r="517" spans="16:16" ht="20.100000000000001" customHeight="1" x14ac:dyDescent="0.3">
      <c r="P517" s="10"/>
    </row>
    <row r="518" spans="16:16" ht="20.100000000000001" customHeight="1" x14ac:dyDescent="0.3">
      <c r="P518" s="10"/>
    </row>
    <row r="519" spans="16:16" ht="20.100000000000001" customHeight="1" x14ac:dyDescent="0.3">
      <c r="P519" s="10"/>
    </row>
    <row r="520" spans="16:16" ht="20.100000000000001" customHeight="1" x14ac:dyDescent="0.3">
      <c r="P520" s="10"/>
    </row>
    <row r="521" spans="16:16" ht="20.100000000000001" customHeight="1" x14ac:dyDescent="0.3">
      <c r="P521" s="10"/>
    </row>
    <row r="522" spans="16:16" ht="20.100000000000001" customHeight="1" x14ac:dyDescent="0.3">
      <c r="P522" s="10"/>
    </row>
    <row r="523" spans="16:16" ht="20.100000000000001" customHeight="1" x14ac:dyDescent="0.3">
      <c r="P523" s="10"/>
    </row>
    <row r="524" spans="16:16" ht="20.100000000000001" customHeight="1" x14ac:dyDescent="0.3">
      <c r="P524" s="10"/>
    </row>
    <row r="525" spans="16:16" ht="20.100000000000001" customHeight="1" x14ac:dyDescent="0.3">
      <c r="P525" s="10"/>
    </row>
    <row r="526" spans="16:16" ht="20.100000000000001" customHeight="1" x14ac:dyDescent="0.3">
      <c r="P526" s="10"/>
    </row>
    <row r="527" spans="16:16" ht="20.100000000000001" customHeight="1" x14ac:dyDescent="0.3">
      <c r="P527" s="10"/>
    </row>
    <row r="528" spans="16:16" ht="20.100000000000001" customHeight="1" x14ac:dyDescent="0.3">
      <c r="P528" s="10"/>
    </row>
    <row r="529" spans="16:16" ht="20.100000000000001" customHeight="1" x14ac:dyDescent="0.3">
      <c r="P529" s="10"/>
    </row>
    <row r="530" spans="16:16" ht="20.100000000000001" customHeight="1" x14ac:dyDescent="0.3">
      <c r="P530" s="10"/>
    </row>
    <row r="531" spans="16:16" ht="20.100000000000001" customHeight="1" x14ac:dyDescent="0.3">
      <c r="P531" s="10"/>
    </row>
    <row r="532" spans="16:16" ht="20.100000000000001" customHeight="1" x14ac:dyDescent="0.3">
      <c r="P532" s="10"/>
    </row>
    <row r="533" spans="16:16" ht="20.100000000000001" customHeight="1" x14ac:dyDescent="0.3">
      <c r="P533" s="10"/>
    </row>
    <row r="534" spans="16:16" ht="20.100000000000001" customHeight="1" x14ac:dyDescent="0.3">
      <c r="P534" s="10"/>
    </row>
    <row r="535" spans="16:16" ht="20.100000000000001" customHeight="1" x14ac:dyDescent="0.3">
      <c r="P535" s="10"/>
    </row>
    <row r="536" spans="16:16" ht="20.100000000000001" customHeight="1" x14ac:dyDescent="0.3">
      <c r="P536" s="10"/>
    </row>
    <row r="537" spans="16:16" ht="20.100000000000001" customHeight="1" x14ac:dyDescent="0.3">
      <c r="P537" s="10"/>
    </row>
    <row r="538" spans="16:16" ht="20.100000000000001" customHeight="1" x14ac:dyDescent="0.3">
      <c r="P538" s="10"/>
    </row>
    <row r="539" spans="16:16" ht="20.100000000000001" customHeight="1" x14ac:dyDescent="0.3">
      <c r="P539" s="10"/>
    </row>
    <row r="540" spans="16:16" ht="20.100000000000001" customHeight="1" x14ac:dyDescent="0.3">
      <c r="P540" s="10"/>
    </row>
    <row r="541" spans="16:16" ht="20.100000000000001" customHeight="1" x14ac:dyDescent="0.3">
      <c r="P541" s="10"/>
    </row>
    <row r="542" spans="16:16" ht="20.100000000000001" customHeight="1" x14ac:dyDescent="0.3">
      <c r="P542" s="10"/>
    </row>
    <row r="543" spans="16:16" ht="20.100000000000001" customHeight="1" x14ac:dyDescent="0.3">
      <c r="P543" s="10"/>
    </row>
    <row r="544" spans="16:16" ht="20.100000000000001" customHeight="1" x14ac:dyDescent="0.3">
      <c r="P544" s="10"/>
    </row>
    <row r="545" spans="16:16" ht="20.100000000000001" customHeight="1" x14ac:dyDescent="0.3">
      <c r="P545" s="10"/>
    </row>
    <row r="546" spans="16:16" ht="20.100000000000001" customHeight="1" x14ac:dyDescent="0.3">
      <c r="P546" s="10"/>
    </row>
    <row r="547" spans="16:16" ht="20.100000000000001" customHeight="1" x14ac:dyDescent="0.3">
      <c r="P547" s="10"/>
    </row>
    <row r="548" spans="16:16" ht="20.100000000000001" customHeight="1" x14ac:dyDescent="0.3">
      <c r="P548" s="10"/>
    </row>
    <row r="549" spans="16:16" ht="20.100000000000001" customHeight="1" x14ac:dyDescent="0.3">
      <c r="P549" s="10"/>
    </row>
    <row r="550" spans="16:16" ht="20.100000000000001" customHeight="1" x14ac:dyDescent="0.3">
      <c r="P550" s="10"/>
    </row>
    <row r="551" spans="16:16" ht="20.100000000000001" customHeight="1" x14ac:dyDescent="0.3">
      <c r="P551" s="10"/>
    </row>
    <row r="552" spans="16:16" ht="20.100000000000001" customHeight="1" x14ac:dyDescent="0.3">
      <c r="P552" s="10"/>
    </row>
    <row r="553" spans="16:16" ht="20.100000000000001" customHeight="1" x14ac:dyDescent="0.3">
      <c r="P553" s="10"/>
    </row>
    <row r="554" spans="16:16" ht="20.100000000000001" customHeight="1" x14ac:dyDescent="0.3">
      <c r="P554" s="10"/>
    </row>
    <row r="555" spans="16:16" ht="20.100000000000001" customHeight="1" x14ac:dyDescent="0.3">
      <c r="P555" s="10"/>
    </row>
    <row r="556" spans="16:16" ht="20.100000000000001" customHeight="1" x14ac:dyDescent="0.3">
      <c r="P556" s="10"/>
    </row>
    <row r="557" spans="16:16" ht="20.100000000000001" customHeight="1" x14ac:dyDescent="0.3">
      <c r="P557" s="10"/>
    </row>
    <row r="558" spans="16:16" ht="20.100000000000001" customHeight="1" x14ac:dyDescent="0.3">
      <c r="P558" s="10"/>
    </row>
    <row r="559" spans="16:16" ht="20.100000000000001" customHeight="1" x14ac:dyDescent="0.3">
      <c r="P559" s="10"/>
    </row>
    <row r="560" spans="16:16" ht="20.100000000000001" customHeight="1" x14ac:dyDescent="0.3">
      <c r="P560" s="10"/>
    </row>
    <row r="561" spans="16:16" ht="20.100000000000001" customHeight="1" x14ac:dyDescent="0.3">
      <c r="P561" s="10"/>
    </row>
    <row r="562" spans="16:16" ht="20.100000000000001" customHeight="1" x14ac:dyDescent="0.3">
      <c r="P562" s="10"/>
    </row>
    <row r="563" spans="16:16" ht="20.100000000000001" customHeight="1" x14ac:dyDescent="0.3">
      <c r="P563" s="10"/>
    </row>
    <row r="564" spans="16:16" ht="20.100000000000001" customHeight="1" x14ac:dyDescent="0.3">
      <c r="P564" s="10"/>
    </row>
    <row r="565" spans="16:16" ht="20.100000000000001" customHeight="1" x14ac:dyDescent="0.3">
      <c r="P565" s="10"/>
    </row>
    <row r="566" spans="16:16" ht="20.100000000000001" customHeight="1" x14ac:dyDescent="0.3">
      <c r="P566" s="10"/>
    </row>
    <row r="567" spans="16:16" ht="20.100000000000001" customHeight="1" x14ac:dyDescent="0.3">
      <c r="P567" s="10"/>
    </row>
    <row r="568" spans="16:16" ht="20.100000000000001" customHeight="1" x14ac:dyDescent="0.3">
      <c r="P568" s="10"/>
    </row>
    <row r="569" spans="16:16" ht="20.100000000000001" customHeight="1" x14ac:dyDescent="0.3">
      <c r="P569" s="10"/>
    </row>
    <row r="570" spans="16:16" ht="20.100000000000001" customHeight="1" x14ac:dyDescent="0.3">
      <c r="P570" s="10"/>
    </row>
    <row r="571" spans="16:16" ht="20.100000000000001" customHeight="1" x14ac:dyDescent="0.3">
      <c r="P571" s="10"/>
    </row>
    <row r="572" spans="16:16" ht="20.100000000000001" customHeight="1" x14ac:dyDescent="0.3">
      <c r="P572" s="10"/>
    </row>
    <row r="573" spans="16:16" ht="20.100000000000001" customHeight="1" x14ac:dyDescent="0.3">
      <c r="P573" s="10"/>
    </row>
    <row r="574" spans="16:16" ht="20.100000000000001" customHeight="1" x14ac:dyDescent="0.3">
      <c r="P574" s="10"/>
    </row>
    <row r="575" spans="16:16" ht="20.100000000000001" customHeight="1" x14ac:dyDescent="0.3">
      <c r="P575" s="10"/>
    </row>
    <row r="576" spans="16:16" ht="20.100000000000001" customHeight="1" x14ac:dyDescent="0.3">
      <c r="P576" s="10"/>
    </row>
    <row r="577" spans="16:16" ht="20.100000000000001" customHeight="1" x14ac:dyDescent="0.3">
      <c r="P577" s="10"/>
    </row>
    <row r="578" spans="16:16" ht="20.100000000000001" customHeight="1" x14ac:dyDescent="0.3">
      <c r="P578" s="10"/>
    </row>
    <row r="579" spans="16:16" ht="20.100000000000001" customHeight="1" x14ac:dyDescent="0.3">
      <c r="P579" s="10"/>
    </row>
    <row r="580" spans="16:16" ht="20.100000000000001" customHeight="1" x14ac:dyDescent="0.3">
      <c r="P580" s="10"/>
    </row>
    <row r="581" spans="16:16" ht="20.100000000000001" customHeight="1" x14ac:dyDescent="0.3">
      <c r="P581" s="10"/>
    </row>
    <row r="582" spans="16:16" ht="20.100000000000001" customHeight="1" x14ac:dyDescent="0.3">
      <c r="P582" s="10"/>
    </row>
    <row r="583" spans="16:16" ht="20.100000000000001" customHeight="1" x14ac:dyDescent="0.3">
      <c r="P583" s="10"/>
    </row>
    <row r="584" spans="16:16" ht="20.100000000000001" customHeight="1" x14ac:dyDescent="0.3">
      <c r="P584" s="10"/>
    </row>
    <row r="585" spans="16:16" ht="20.100000000000001" customHeight="1" x14ac:dyDescent="0.3">
      <c r="P585" s="10"/>
    </row>
    <row r="586" spans="16:16" ht="20.100000000000001" customHeight="1" x14ac:dyDescent="0.3">
      <c r="P586" s="10"/>
    </row>
    <row r="587" spans="16:16" ht="20.100000000000001" customHeight="1" x14ac:dyDescent="0.3">
      <c r="P587" s="10"/>
    </row>
    <row r="588" spans="16:16" ht="20.100000000000001" customHeight="1" x14ac:dyDescent="0.3">
      <c r="P588" s="10"/>
    </row>
    <row r="589" spans="16:16" ht="20.100000000000001" customHeight="1" x14ac:dyDescent="0.3">
      <c r="P589" s="10"/>
    </row>
    <row r="590" spans="16:16" ht="20.100000000000001" customHeight="1" x14ac:dyDescent="0.3">
      <c r="P590" s="10"/>
    </row>
    <row r="591" spans="16:16" ht="20.100000000000001" customHeight="1" x14ac:dyDescent="0.3">
      <c r="P591" s="10"/>
    </row>
    <row r="592" spans="16:16" ht="20.100000000000001" customHeight="1" x14ac:dyDescent="0.3">
      <c r="P592" s="10"/>
    </row>
    <row r="593" spans="16:16" ht="20.100000000000001" customHeight="1" x14ac:dyDescent="0.3">
      <c r="P593" s="10"/>
    </row>
    <row r="594" spans="16:16" ht="20.100000000000001" customHeight="1" x14ac:dyDescent="0.3">
      <c r="P594" s="10"/>
    </row>
    <row r="595" spans="16:16" ht="20.100000000000001" customHeight="1" x14ac:dyDescent="0.3">
      <c r="P595" s="10"/>
    </row>
    <row r="596" spans="16:16" ht="20.100000000000001" customHeight="1" x14ac:dyDescent="0.3">
      <c r="P596" s="10"/>
    </row>
    <row r="597" spans="16:16" ht="20.100000000000001" customHeight="1" x14ac:dyDescent="0.3">
      <c r="P597" s="10"/>
    </row>
    <row r="598" spans="16:16" ht="20.100000000000001" customHeight="1" x14ac:dyDescent="0.3">
      <c r="P598" s="10"/>
    </row>
    <row r="599" spans="16:16" ht="20.100000000000001" customHeight="1" x14ac:dyDescent="0.3">
      <c r="P599" s="10"/>
    </row>
    <row r="600" spans="16:16" ht="20.100000000000001" customHeight="1" x14ac:dyDescent="0.3">
      <c r="P600" s="10"/>
    </row>
    <row r="601" spans="16:16" ht="20.100000000000001" customHeight="1" x14ac:dyDescent="0.3">
      <c r="P601" s="10"/>
    </row>
    <row r="602" spans="16:16" ht="20.100000000000001" customHeight="1" x14ac:dyDescent="0.3">
      <c r="P602" s="10"/>
    </row>
    <row r="603" spans="16:16" ht="20.100000000000001" customHeight="1" x14ac:dyDescent="0.3">
      <c r="P603" s="10"/>
    </row>
    <row r="604" spans="16:16" ht="20.100000000000001" customHeight="1" x14ac:dyDescent="0.3">
      <c r="P604" s="10"/>
    </row>
    <row r="605" spans="16:16" ht="20.100000000000001" customHeight="1" x14ac:dyDescent="0.3">
      <c r="P605" s="10"/>
    </row>
    <row r="606" spans="16:16" ht="20.100000000000001" customHeight="1" x14ac:dyDescent="0.3">
      <c r="P606" s="10"/>
    </row>
    <row r="607" spans="16:16" ht="20.100000000000001" customHeight="1" x14ac:dyDescent="0.3">
      <c r="P607" s="10"/>
    </row>
    <row r="608" spans="16:16" ht="20.100000000000001" customHeight="1" x14ac:dyDescent="0.3">
      <c r="P608" s="10"/>
    </row>
    <row r="609" spans="16:16" ht="20.100000000000001" customHeight="1" x14ac:dyDescent="0.3">
      <c r="P609" s="10"/>
    </row>
    <row r="610" spans="16:16" ht="20.100000000000001" customHeight="1" x14ac:dyDescent="0.3">
      <c r="P610" s="10"/>
    </row>
    <row r="611" spans="16:16" ht="20.100000000000001" customHeight="1" x14ac:dyDescent="0.3">
      <c r="P611" s="10"/>
    </row>
    <row r="612" spans="16:16" ht="20.100000000000001" customHeight="1" x14ac:dyDescent="0.3">
      <c r="P612" s="10"/>
    </row>
    <row r="613" spans="16:16" ht="20.100000000000001" customHeight="1" x14ac:dyDescent="0.3">
      <c r="P613" s="10"/>
    </row>
    <row r="614" spans="16:16" ht="20.100000000000001" customHeight="1" x14ac:dyDescent="0.3">
      <c r="P614" s="10"/>
    </row>
    <row r="615" spans="16:16" ht="20.100000000000001" customHeight="1" x14ac:dyDescent="0.3">
      <c r="P615" s="10"/>
    </row>
    <row r="616" spans="16:16" ht="20.100000000000001" customHeight="1" x14ac:dyDescent="0.3">
      <c r="P616" s="10"/>
    </row>
    <row r="617" spans="16:16" ht="20.100000000000001" customHeight="1" x14ac:dyDescent="0.3">
      <c r="P617" s="10"/>
    </row>
    <row r="618" spans="16:16" ht="20.100000000000001" customHeight="1" x14ac:dyDescent="0.3">
      <c r="P618" s="10"/>
    </row>
    <row r="619" spans="16:16" ht="20.100000000000001" customHeight="1" x14ac:dyDescent="0.3">
      <c r="P619" s="10"/>
    </row>
    <row r="620" spans="16:16" ht="20.100000000000001" customHeight="1" x14ac:dyDescent="0.3">
      <c r="P620" s="10"/>
    </row>
    <row r="621" spans="16:16" ht="20.100000000000001" customHeight="1" x14ac:dyDescent="0.3">
      <c r="P621" s="10"/>
    </row>
    <row r="622" spans="16:16" ht="20.100000000000001" customHeight="1" x14ac:dyDescent="0.3">
      <c r="P622" s="10"/>
    </row>
    <row r="623" spans="16:16" ht="20.100000000000001" customHeight="1" x14ac:dyDescent="0.3">
      <c r="P623" s="10"/>
    </row>
    <row r="624" spans="16:16" ht="20.100000000000001" customHeight="1" x14ac:dyDescent="0.3">
      <c r="P624" s="10"/>
    </row>
    <row r="625" spans="16:16" ht="20.100000000000001" customHeight="1" x14ac:dyDescent="0.3">
      <c r="P625" s="10"/>
    </row>
    <row r="626" spans="16:16" ht="20.100000000000001" customHeight="1" x14ac:dyDescent="0.3">
      <c r="P626" s="10"/>
    </row>
    <row r="627" spans="16:16" ht="20.100000000000001" customHeight="1" x14ac:dyDescent="0.3">
      <c r="P627" s="10"/>
    </row>
    <row r="628" spans="16:16" ht="20.100000000000001" customHeight="1" x14ac:dyDescent="0.3">
      <c r="P628" s="10"/>
    </row>
    <row r="629" spans="16:16" ht="20.100000000000001" customHeight="1" x14ac:dyDescent="0.3">
      <c r="P629" s="10"/>
    </row>
    <row r="630" spans="16:16" ht="20.100000000000001" customHeight="1" x14ac:dyDescent="0.3">
      <c r="P630" s="10"/>
    </row>
    <row r="631" spans="16:16" ht="20.100000000000001" customHeight="1" x14ac:dyDescent="0.3">
      <c r="P631" s="10"/>
    </row>
    <row r="632" spans="16:16" ht="20.100000000000001" customHeight="1" x14ac:dyDescent="0.3">
      <c r="P632" s="10"/>
    </row>
    <row r="633" spans="16:16" ht="20.100000000000001" customHeight="1" x14ac:dyDescent="0.3">
      <c r="P633" s="10"/>
    </row>
    <row r="634" spans="16:16" ht="20.100000000000001" customHeight="1" x14ac:dyDescent="0.3">
      <c r="P634" s="10"/>
    </row>
    <row r="635" spans="16:16" ht="20.100000000000001" customHeight="1" x14ac:dyDescent="0.3">
      <c r="P635" s="10"/>
    </row>
    <row r="636" spans="16:16" ht="20.100000000000001" customHeight="1" x14ac:dyDescent="0.3">
      <c r="P636" s="10"/>
    </row>
    <row r="637" spans="16:16" ht="20.100000000000001" customHeight="1" x14ac:dyDescent="0.3">
      <c r="P637" s="10"/>
    </row>
    <row r="638" spans="16:16" ht="20.100000000000001" customHeight="1" x14ac:dyDescent="0.3">
      <c r="P638" s="10"/>
    </row>
    <row r="639" spans="16:16" ht="20.100000000000001" customHeight="1" x14ac:dyDescent="0.3">
      <c r="P639" s="10"/>
    </row>
    <row r="640" spans="16:16" ht="20.100000000000001" customHeight="1" x14ac:dyDescent="0.3">
      <c r="P640" s="10"/>
    </row>
    <row r="641" spans="16:16" ht="20.100000000000001" customHeight="1" x14ac:dyDescent="0.3">
      <c r="P641" s="10"/>
    </row>
    <row r="642" spans="16:16" ht="20.100000000000001" customHeight="1" x14ac:dyDescent="0.3">
      <c r="P642" s="10"/>
    </row>
    <row r="643" spans="16:16" ht="20.100000000000001" customHeight="1" x14ac:dyDescent="0.3">
      <c r="P643" s="10"/>
    </row>
    <row r="644" spans="16:16" ht="20.100000000000001" customHeight="1" x14ac:dyDescent="0.3">
      <c r="P644" s="10"/>
    </row>
    <row r="645" spans="16:16" ht="20.100000000000001" customHeight="1" x14ac:dyDescent="0.3">
      <c r="P645" s="10"/>
    </row>
    <row r="646" spans="16:16" ht="20.100000000000001" customHeight="1" x14ac:dyDescent="0.3">
      <c r="P646" s="10"/>
    </row>
    <row r="647" spans="16:16" ht="20.100000000000001" customHeight="1" x14ac:dyDescent="0.3">
      <c r="P647" s="10"/>
    </row>
    <row r="648" spans="16:16" ht="20.100000000000001" customHeight="1" x14ac:dyDescent="0.3">
      <c r="P648" s="10"/>
    </row>
    <row r="649" spans="16:16" ht="20.100000000000001" customHeight="1" x14ac:dyDescent="0.3">
      <c r="P649" s="10"/>
    </row>
    <row r="650" spans="16:16" ht="20.100000000000001" customHeight="1" x14ac:dyDescent="0.3">
      <c r="P650" s="10"/>
    </row>
    <row r="651" spans="16:16" ht="20.100000000000001" customHeight="1" x14ac:dyDescent="0.3">
      <c r="P651" s="10"/>
    </row>
    <row r="652" spans="16:16" ht="20.100000000000001" customHeight="1" x14ac:dyDescent="0.3">
      <c r="P652" s="10"/>
    </row>
    <row r="653" spans="16:16" ht="20.100000000000001" customHeight="1" x14ac:dyDescent="0.3">
      <c r="P653" s="10"/>
    </row>
    <row r="654" spans="16:16" ht="20.100000000000001" customHeight="1" x14ac:dyDescent="0.3">
      <c r="P654" s="10"/>
    </row>
    <row r="655" spans="16:16" ht="20.100000000000001" customHeight="1" x14ac:dyDescent="0.3">
      <c r="P655" s="10"/>
    </row>
    <row r="656" spans="16:16" ht="20.100000000000001" customHeight="1" x14ac:dyDescent="0.3">
      <c r="P656" s="10"/>
    </row>
    <row r="657" spans="16:16" ht="20.100000000000001" customHeight="1" x14ac:dyDescent="0.3">
      <c r="P657" s="10"/>
    </row>
    <row r="658" spans="16:16" ht="20.100000000000001" customHeight="1" x14ac:dyDescent="0.3">
      <c r="P658" s="10"/>
    </row>
    <row r="659" spans="16:16" ht="20.100000000000001" customHeight="1" x14ac:dyDescent="0.3">
      <c r="P659" s="10"/>
    </row>
    <row r="660" spans="16:16" ht="20.100000000000001" customHeight="1" x14ac:dyDescent="0.3">
      <c r="P660" s="10"/>
    </row>
    <row r="661" spans="16:16" ht="20.100000000000001" customHeight="1" x14ac:dyDescent="0.3">
      <c r="P661" s="10"/>
    </row>
    <row r="662" spans="16:16" ht="20.100000000000001" customHeight="1" x14ac:dyDescent="0.3">
      <c r="P662" s="10"/>
    </row>
    <row r="663" spans="16:16" ht="20.100000000000001" customHeight="1" x14ac:dyDescent="0.3">
      <c r="P663" s="10"/>
    </row>
    <row r="664" spans="16:16" ht="20.100000000000001" customHeight="1" x14ac:dyDescent="0.3">
      <c r="P664" s="10"/>
    </row>
    <row r="665" spans="16:16" ht="20.100000000000001" customHeight="1" x14ac:dyDescent="0.3">
      <c r="P665" s="10"/>
    </row>
    <row r="666" spans="16:16" ht="20.100000000000001" customHeight="1" x14ac:dyDescent="0.3">
      <c r="P666" s="10"/>
    </row>
    <row r="667" spans="16:16" ht="20.100000000000001" customHeight="1" x14ac:dyDescent="0.3">
      <c r="P667" s="10"/>
    </row>
    <row r="668" spans="16:16" ht="20.100000000000001" customHeight="1" x14ac:dyDescent="0.3">
      <c r="P668" s="10"/>
    </row>
    <row r="669" spans="16:16" ht="20.100000000000001" customHeight="1" x14ac:dyDescent="0.3">
      <c r="P669" s="10"/>
    </row>
    <row r="670" spans="16:16" ht="20.100000000000001" customHeight="1" x14ac:dyDescent="0.3">
      <c r="P670" s="10"/>
    </row>
    <row r="671" spans="16:16" ht="20.100000000000001" customHeight="1" x14ac:dyDescent="0.3">
      <c r="P671" s="10"/>
    </row>
    <row r="672" spans="16:16" ht="20.100000000000001" customHeight="1" x14ac:dyDescent="0.3">
      <c r="P672" s="10"/>
    </row>
    <row r="673" spans="16:16" ht="20.100000000000001" customHeight="1" x14ac:dyDescent="0.3">
      <c r="P673" s="10"/>
    </row>
    <row r="674" spans="16:16" ht="20.100000000000001" customHeight="1" x14ac:dyDescent="0.3">
      <c r="P674" s="10"/>
    </row>
    <row r="675" spans="16:16" ht="20.100000000000001" customHeight="1" x14ac:dyDescent="0.3">
      <c r="P675" s="10"/>
    </row>
    <row r="676" spans="16:16" ht="20.100000000000001" customHeight="1" x14ac:dyDescent="0.3">
      <c r="P676" s="10"/>
    </row>
    <row r="677" spans="16:16" ht="20.100000000000001" customHeight="1" x14ac:dyDescent="0.3">
      <c r="P677" s="10"/>
    </row>
    <row r="678" spans="16:16" ht="20.100000000000001" customHeight="1" x14ac:dyDescent="0.3">
      <c r="P678" s="10"/>
    </row>
    <row r="679" spans="16:16" ht="20.100000000000001" customHeight="1" x14ac:dyDescent="0.3">
      <c r="P679" s="10"/>
    </row>
    <row r="680" spans="16:16" ht="20.100000000000001" customHeight="1" x14ac:dyDescent="0.3">
      <c r="P680" s="10"/>
    </row>
    <row r="681" spans="16:16" ht="20.100000000000001" customHeight="1" x14ac:dyDescent="0.3">
      <c r="P681" s="10"/>
    </row>
    <row r="682" spans="16:16" ht="20.100000000000001" customHeight="1" x14ac:dyDescent="0.3">
      <c r="P682" s="10"/>
    </row>
    <row r="683" spans="16:16" ht="20.100000000000001" customHeight="1" x14ac:dyDescent="0.3">
      <c r="P683" s="10"/>
    </row>
    <row r="684" spans="16:16" ht="20.100000000000001" customHeight="1" x14ac:dyDescent="0.3">
      <c r="P684" s="10"/>
    </row>
    <row r="685" spans="16:16" ht="20.100000000000001" customHeight="1" x14ac:dyDescent="0.3">
      <c r="P685" s="10"/>
    </row>
    <row r="686" spans="16:16" ht="20.100000000000001" customHeight="1" x14ac:dyDescent="0.3">
      <c r="P686" s="10"/>
    </row>
    <row r="687" spans="16:16" ht="20.100000000000001" customHeight="1" x14ac:dyDescent="0.3">
      <c r="P687" s="10"/>
    </row>
    <row r="688" spans="16:16" ht="20.100000000000001" customHeight="1" x14ac:dyDescent="0.3">
      <c r="P688" s="10"/>
    </row>
    <row r="689" spans="16:16" ht="20.100000000000001" customHeight="1" x14ac:dyDescent="0.3">
      <c r="P689" s="10"/>
    </row>
    <row r="690" spans="16:16" ht="20.100000000000001" customHeight="1" x14ac:dyDescent="0.3">
      <c r="P690" s="10"/>
    </row>
    <row r="691" spans="16:16" ht="20.100000000000001" customHeight="1" x14ac:dyDescent="0.3">
      <c r="P691" s="10"/>
    </row>
    <row r="692" spans="16:16" ht="20.100000000000001" customHeight="1" x14ac:dyDescent="0.3">
      <c r="P692" s="10"/>
    </row>
    <row r="693" spans="16:16" ht="20.100000000000001" customHeight="1" x14ac:dyDescent="0.3">
      <c r="P693" s="10"/>
    </row>
    <row r="694" spans="16:16" ht="20.100000000000001" customHeight="1" x14ac:dyDescent="0.3">
      <c r="P694" s="10"/>
    </row>
    <row r="695" spans="16:16" ht="20.100000000000001" customHeight="1" x14ac:dyDescent="0.3">
      <c r="P695" s="10"/>
    </row>
    <row r="696" spans="16:16" ht="20.100000000000001" customHeight="1" x14ac:dyDescent="0.3">
      <c r="P696" s="10"/>
    </row>
    <row r="697" spans="16:16" ht="20.100000000000001" customHeight="1" x14ac:dyDescent="0.3">
      <c r="P697" s="10"/>
    </row>
    <row r="698" spans="16:16" ht="20.100000000000001" customHeight="1" x14ac:dyDescent="0.3">
      <c r="P698" s="10"/>
    </row>
    <row r="699" spans="16:16" ht="20.100000000000001" customHeight="1" x14ac:dyDescent="0.3">
      <c r="P699" s="10"/>
    </row>
    <row r="700" spans="16:16" ht="20.100000000000001" customHeight="1" x14ac:dyDescent="0.3">
      <c r="P700" s="10"/>
    </row>
    <row r="701" spans="16:16" ht="20.100000000000001" customHeight="1" x14ac:dyDescent="0.3">
      <c r="P701" s="10"/>
    </row>
    <row r="702" spans="16:16" ht="20.100000000000001" customHeight="1" x14ac:dyDescent="0.3">
      <c r="P702" s="10"/>
    </row>
    <row r="703" spans="16:16" ht="20.100000000000001" customHeight="1" x14ac:dyDescent="0.3">
      <c r="P703" s="10"/>
    </row>
    <row r="704" spans="16:16" ht="20.100000000000001" customHeight="1" x14ac:dyDescent="0.3">
      <c r="P704" s="10"/>
    </row>
    <row r="705" spans="16:16" ht="20.100000000000001" customHeight="1" x14ac:dyDescent="0.3">
      <c r="P705" s="10"/>
    </row>
    <row r="706" spans="16:16" ht="20.100000000000001" customHeight="1" x14ac:dyDescent="0.3">
      <c r="P706" s="10"/>
    </row>
    <row r="707" spans="16:16" ht="20.100000000000001" customHeight="1" x14ac:dyDescent="0.3">
      <c r="P707" s="10"/>
    </row>
    <row r="708" spans="16:16" ht="20.100000000000001" customHeight="1" x14ac:dyDescent="0.3">
      <c r="P708" s="10"/>
    </row>
    <row r="709" spans="16:16" ht="20.100000000000001" customHeight="1" x14ac:dyDescent="0.3">
      <c r="P709" s="10"/>
    </row>
    <row r="710" spans="16:16" ht="20.100000000000001" customHeight="1" x14ac:dyDescent="0.3">
      <c r="P710" s="10"/>
    </row>
    <row r="711" spans="16:16" ht="20.100000000000001" customHeight="1" x14ac:dyDescent="0.3">
      <c r="P711" s="10"/>
    </row>
    <row r="712" spans="16:16" ht="20.100000000000001" customHeight="1" x14ac:dyDescent="0.3">
      <c r="P712" s="10"/>
    </row>
    <row r="713" spans="16:16" ht="20.100000000000001" customHeight="1" x14ac:dyDescent="0.3">
      <c r="P713" s="10"/>
    </row>
    <row r="714" spans="16:16" ht="20.100000000000001" customHeight="1" x14ac:dyDescent="0.3">
      <c r="P714" s="10"/>
    </row>
    <row r="715" spans="16:16" ht="20.100000000000001" customHeight="1" x14ac:dyDescent="0.3">
      <c r="P715" s="10"/>
    </row>
    <row r="716" spans="16:16" ht="20.100000000000001" customHeight="1" x14ac:dyDescent="0.3">
      <c r="P716" s="10"/>
    </row>
    <row r="717" spans="16:16" ht="20.100000000000001" customHeight="1" x14ac:dyDescent="0.3">
      <c r="P717" s="10"/>
    </row>
    <row r="718" spans="16:16" ht="20.100000000000001" customHeight="1" x14ac:dyDescent="0.3">
      <c r="P718" s="10"/>
    </row>
    <row r="719" spans="16:16" ht="20.100000000000001" customHeight="1" x14ac:dyDescent="0.3">
      <c r="P719" s="10"/>
    </row>
    <row r="720" spans="16:16" ht="20.100000000000001" customHeight="1" x14ac:dyDescent="0.3">
      <c r="P720" s="10"/>
    </row>
    <row r="721" spans="16:16" ht="20.100000000000001" customHeight="1" x14ac:dyDescent="0.3">
      <c r="P721" s="10"/>
    </row>
    <row r="722" spans="16:16" ht="20.100000000000001" customHeight="1" x14ac:dyDescent="0.3">
      <c r="P722" s="10"/>
    </row>
    <row r="723" spans="16:16" ht="20.100000000000001" customHeight="1" x14ac:dyDescent="0.3">
      <c r="P723" s="10"/>
    </row>
    <row r="724" spans="16:16" ht="20.100000000000001" customHeight="1" x14ac:dyDescent="0.3">
      <c r="P724" s="10"/>
    </row>
    <row r="725" spans="16:16" ht="20.100000000000001" customHeight="1" x14ac:dyDescent="0.3">
      <c r="P725" s="10"/>
    </row>
    <row r="726" spans="16:16" ht="20.100000000000001" customHeight="1" x14ac:dyDescent="0.3">
      <c r="P726" s="10"/>
    </row>
    <row r="727" spans="16:16" ht="20.100000000000001" customHeight="1" x14ac:dyDescent="0.3">
      <c r="P727" s="10"/>
    </row>
    <row r="728" spans="16:16" ht="20.100000000000001" customHeight="1" x14ac:dyDescent="0.3">
      <c r="P728" s="10"/>
    </row>
    <row r="729" spans="16:16" ht="20.100000000000001" customHeight="1" x14ac:dyDescent="0.3">
      <c r="P729" s="10"/>
    </row>
    <row r="730" spans="16:16" ht="20.100000000000001" customHeight="1" x14ac:dyDescent="0.3">
      <c r="P730" s="10"/>
    </row>
    <row r="731" spans="16:16" ht="20.100000000000001" customHeight="1" x14ac:dyDescent="0.3">
      <c r="P731" s="10"/>
    </row>
    <row r="732" spans="16:16" ht="20.100000000000001" customHeight="1" x14ac:dyDescent="0.3">
      <c r="P732" s="10"/>
    </row>
    <row r="733" spans="16:16" ht="20.100000000000001" customHeight="1" x14ac:dyDescent="0.3">
      <c r="P733" s="10"/>
    </row>
    <row r="734" spans="16:16" ht="20.100000000000001" customHeight="1" x14ac:dyDescent="0.3">
      <c r="P734" s="10"/>
    </row>
    <row r="735" spans="16:16" ht="20.100000000000001" customHeight="1" x14ac:dyDescent="0.3">
      <c r="P735" s="10"/>
    </row>
    <row r="736" spans="16:16" ht="20.100000000000001" customHeight="1" x14ac:dyDescent="0.3">
      <c r="P736" s="10"/>
    </row>
    <row r="737" spans="16:16" ht="20.100000000000001" customHeight="1" x14ac:dyDescent="0.3">
      <c r="P737" s="10"/>
    </row>
    <row r="738" spans="16:16" ht="20.100000000000001" customHeight="1" x14ac:dyDescent="0.3">
      <c r="P738" s="10"/>
    </row>
    <row r="739" spans="16:16" ht="20.100000000000001" customHeight="1" x14ac:dyDescent="0.3">
      <c r="P739" s="10"/>
    </row>
    <row r="740" spans="16:16" ht="20.100000000000001" customHeight="1" x14ac:dyDescent="0.3">
      <c r="P740" s="10"/>
    </row>
    <row r="741" spans="16:16" ht="20.100000000000001" customHeight="1" x14ac:dyDescent="0.3">
      <c r="P741" s="10"/>
    </row>
    <row r="742" spans="16:16" ht="20.100000000000001" customHeight="1" x14ac:dyDescent="0.3">
      <c r="P742" s="10"/>
    </row>
    <row r="743" spans="16:16" ht="20.100000000000001" customHeight="1" x14ac:dyDescent="0.3">
      <c r="P743" s="10"/>
    </row>
    <row r="744" spans="16:16" ht="20.100000000000001" customHeight="1" x14ac:dyDescent="0.3">
      <c r="P744" s="10"/>
    </row>
    <row r="745" spans="16:16" ht="20.100000000000001" customHeight="1" x14ac:dyDescent="0.3">
      <c r="P745" s="10"/>
    </row>
    <row r="746" spans="16:16" ht="20.100000000000001" customHeight="1" x14ac:dyDescent="0.3">
      <c r="P746" s="10"/>
    </row>
    <row r="747" spans="16:16" ht="20.100000000000001" customHeight="1" x14ac:dyDescent="0.3">
      <c r="P747" s="10"/>
    </row>
    <row r="748" spans="16:16" ht="20.100000000000001" customHeight="1" x14ac:dyDescent="0.3">
      <c r="P748" s="10"/>
    </row>
    <row r="749" spans="16:16" ht="20.100000000000001" customHeight="1" x14ac:dyDescent="0.3">
      <c r="P749" s="10"/>
    </row>
    <row r="750" spans="16:16" ht="20.100000000000001" customHeight="1" x14ac:dyDescent="0.3">
      <c r="P750" s="10"/>
    </row>
    <row r="751" spans="16:16" ht="20.100000000000001" customHeight="1" x14ac:dyDescent="0.3">
      <c r="P751" s="10"/>
    </row>
    <row r="752" spans="16:16" ht="20.100000000000001" customHeight="1" x14ac:dyDescent="0.3">
      <c r="P752" s="11"/>
    </row>
    <row r="753" spans="16:16" ht="20.100000000000001" customHeight="1" x14ac:dyDescent="0.3">
      <c r="P753" s="11"/>
    </row>
  </sheetData>
  <sheetProtection selectLockedCells="1" selectUnlockedCells="1"/>
  <mergeCells count="50">
    <mergeCell ref="AZ5:BA5"/>
    <mergeCell ref="BB5:BC5"/>
    <mergeCell ref="AP5:AQ5"/>
    <mergeCell ref="AR5:AS5"/>
    <mergeCell ref="AV4:AW4"/>
    <mergeCell ref="V4:W4"/>
    <mergeCell ref="X4:Y4"/>
    <mergeCell ref="Z4:AA4"/>
    <mergeCell ref="AB4:AC4"/>
    <mergeCell ref="AN4:AO4"/>
    <mergeCell ref="AH4:AI4"/>
    <mergeCell ref="AJ4:AK4"/>
    <mergeCell ref="AL4:AM4"/>
    <mergeCell ref="AP4:AQ4"/>
    <mergeCell ref="AR4:AS4"/>
    <mergeCell ref="AT4:AU4"/>
    <mergeCell ref="AH5:AI5"/>
    <mergeCell ref="AJ5:AK5"/>
    <mergeCell ref="R4:S4"/>
    <mergeCell ref="T4:U4"/>
    <mergeCell ref="Z5:AA5"/>
    <mergeCell ref="AB5:AC5"/>
    <mergeCell ref="T5:U5"/>
    <mergeCell ref="N5:N6"/>
    <mergeCell ref="R2:Y3"/>
    <mergeCell ref="Z2:AG3"/>
    <mergeCell ref="AD4:AE4"/>
    <mergeCell ref="AF4:AG4"/>
    <mergeCell ref="P5:Q5"/>
    <mergeCell ref="R5:S5"/>
    <mergeCell ref="A2:Q2"/>
    <mergeCell ref="A4:A6"/>
    <mergeCell ref="C4:E4"/>
    <mergeCell ref="F4:H4"/>
    <mergeCell ref="I4:J4"/>
    <mergeCell ref="C5:D5"/>
    <mergeCell ref="E5:E6"/>
    <mergeCell ref="F5:G5"/>
    <mergeCell ref="H5:H6"/>
    <mergeCell ref="K5:K6"/>
    <mergeCell ref="AZ2:BG3"/>
    <mergeCell ref="AX3:AY3"/>
    <mergeCell ref="AH3:AO3"/>
    <mergeCell ref="L4:M4"/>
    <mergeCell ref="P4:Q4"/>
    <mergeCell ref="AP3:AW3"/>
    <mergeCell ref="AZ4:BA4"/>
    <mergeCell ref="BB4:BC4"/>
    <mergeCell ref="BD4:BE4"/>
    <mergeCell ref="BF4:BG4"/>
  </mergeCells>
  <printOptions horizontalCentered="1"/>
  <pageMargins left="0" right="0" top="0.5" bottom="0.5" header="0.31496062992126" footer="0.31496062992126"/>
  <pageSetup paperSize="9" scale="39" orientation="landscape" r:id="rId1"/>
  <rowBreaks count="3" manualBreakCount="3">
    <brk id="137" max="58" man="1"/>
    <brk id="187" max="58" man="1"/>
    <brk id="239" max="58" man="1"/>
  </rowBreaks>
  <colBreaks count="2" manualBreakCount="2">
    <brk id="14" max="314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"/>
  <sheetViews>
    <sheetView zoomScale="69" zoomScaleNormal="69" workbookViewId="0">
      <pane ySplit="3" topLeftCell="A4" activePane="bottomLeft" state="frozen"/>
      <selection pane="bottomLeft" activeCell="X1" sqref="X1"/>
    </sheetView>
  </sheetViews>
  <sheetFormatPr defaultRowHeight="14.4" x14ac:dyDescent="0.3"/>
  <cols>
    <col min="1" max="1" width="15.5546875" style="86" customWidth="1"/>
    <col min="2" max="2" width="10.5546875" style="89" bestFit="1" customWidth="1"/>
    <col min="3" max="5" width="9.33203125" style="89" bestFit="1" customWidth="1"/>
    <col min="6" max="6" width="10.5546875" style="89" bestFit="1" customWidth="1"/>
    <col min="7" max="13" width="9.33203125" style="89" bestFit="1" customWidth="1"/>
    <col min="14" max="14" width="9.33203125" bestFit="1" customWidth="1"/>
  </cols>
  <sheetData>
    <row r="1" spans="1:25" x14ac:dyDescent="0.3">
      <c r="X1" s="100" t="s">
        <v>270</v>
      </c>
    </row>
    <row r="2" spans="1:25" x14ac:dyDescent="0.3">
      <c r="B2" s="87" t="s">
        <v>245</v>
      </c>
      <c r="C2" s="87"/>
      <c r="D2" s="157" t="s">
        <v>246</v>
      </c>
      <c r="E2" s="157"/>
      <c r="F2" s="157" t="s">
        <v>247</v>
      </c>
      <c r="G2" s="157"/>
      <c r="H2" s="157" t="s">
        <v>246</v>
      </c>
      <c r="I2" s="157"/>
      <c r="J2" s="158" t="s">
        <v>248</v>
      </c>
      <c r="K2" s="158"/>
      <c r="L2" s="158"/>
      <c r="M2" s="158"/>
      <c r="N2" s="159" t="s">
        <v>255</v>
      </c>
      <c r="O2" s="156"/>
      <c r="P2" s="156" t="s">
        <v>256</v>
      </c>
      <c r="Q2" s="156"/>
      <c r="R2" s="156" t="s">
        <v>257</v>
      </c>
      <c r="S2" s="156"/>
      <c r="T2" s="156"/>
      <c r="U2" s="156"/>
      <c r="V2" s="156" t="s">
        <v>280</v>
      </c>
      <c r="W2" s="156"/>
      <c r="X2" s="156" t="s">
        <v>281</v>
      </c>
      <c r="Y2" s="156"/>
    </row>
    <row r="3" spans="1:25" ht="43.2" x14ac:dyDescent="0.3">
      <c r="B3" s="88" t="s">
        <v>249</v>
      </c>
      <c r="C3" s="88" t="s">
        <v>240</v>
      </c>
      <c r="D3" s="88" t="s">
        <v>249</v>
      </c>
      <c r="E3" s="88" t="s">
        <v>240</v>
      </c>
      <c r="F3" s="88" t="s">
        <v>249</v>
      </c>
      <c r="G3" s="88" t="s">
        <v>240</v>
      </c>
      <c r="H3" s="88" t="s">
        <v>249</v>
      </c>
      <c r="I3" s="88" t="s">
        <v>240</v>
      </c>
      <c r="J3" s="88" t="s">
        <v>250</v>
      </c>
      <c r="K3" s="88" t="s">
        <v>251</v>
      </c>
      <c r="L3" s="88" t="s">
        <v>252</v>
      </c>
      <c r="M3" s="87" t="s">
        <v>253</v>
      </c>
      <c r="N3" s="88" t="s">
        <v>249</v>
      </c>
      <c r="O3" s="88" t="s">
        <v>240</v>
      </c>
      <c r="P3" s="88" t="s">
        <v>249</v>
      </c>
      <c r="Q3" s="88" t="s">
        <v>240</v>
      </c>
      <c r="R3" s="88" t="s">
        <v>274</v>
      </c>
      <c r="S3" s="88" t="s">
        <v>275</v>
      </c>
      <c r="T3" s="88" t="s">
        <v>276</v>
      </c>
      <c r="U3" s="88" t="s">
        <v>277</v>
      </c>
      <c r="V3" s="88" t="s">
        <v>249</v>
      </c>
      <c r="W3" s="88" t="s">
        <v>240</v>
      </c>
      <c r="X3" s="88" t="s">
        <v>249</v>
      </c>
      <c r="Y3" s="88" t="s">
        <v>240</v>
      </c>
    </row>
    <row r="4" spans="1:25" ht="30" customHeight="1" x14ac:dyDescent="0.3">
      <c r="A4" s="16" t="s">
        <v>202</v>
      </c>
      <c r="B4" s="89">
        <v>112.5</v>
      </c>
      <c r="C4" s="89">
        <v>94.6</v>
      </c>
      <c r="D4" s="89">
        <f>ROUND(B4/4,2)</f>
        <v>28.13</v>
      </c>
      <c r="E4" s="89">
        <f>ROUND(C4*0.15,2)-0.01</f>
        <v>14.18</v>
      </c>
      <c r="F4" s="89">
        <v>133</v>
      </c>
      <c r="G4" s="89">
        <v>18</v>
      </c>
      <c r="H4" s="89">
        <f>ROUND(F4*25%,2)</f>
        <v>33.25</v>
      </c>
      <c r="I4" s="89">
        <f>ROUND(G4*0.15,2)</f>
        <v>2.7</v>
      </c>
      <c r="J4" s="89">
        <f>ROUND(B4*20.03%,2)</f>
        <v>22.53</v>
      </c>
      <c r="K4" s="89">
        <f>ROUND(C4*7.19%,2)</f>
        <v>6.8</v>
      </c>
      <c r="L4" s="89">
        <f>ROUND(F4*20.03%,2)</f>
        <v>26.64</v>
      </c>
      <c r="M4" s="89">
        <f>ROUND(G4*7.19%,2)</f>
        <v>1.29</v>
      </c>
      <c r="N4">
        <f>ROUND(B4*4.97%,2)</f>
        <v>5.59</v>
      </c>
      <c r="O4">
        <f>ROUND(C4*10.65%,2)</f>
        <v>10.07</v>
      </c>
      <c r="P4">
        <f>ROUND(F4*4.97%,2)</f>
        <v>6.61</v>
      </c>
      <c r="Q4">
        <f>ROUND(G4*10.65%,2)</f>
        <v>1.92</v>
      </c>
      <c r="R4">
        <f>ROUND(B4*25%,2)-0.01</f>
        <v>28.119999999999997</v>
      </c>
      <c r="S4">
        <f>ROUND(C4*28.15%,2)</f>
        <v>26.63</v>
      </c>
      <c r="T4">
        <f>ROUND(F4*25%,2)-0.01</f>
        <v>33.24</v>
      </c>
      <c r="U4">
        <f>ROUND(G4*28.15%,2)-0.01</f>
        <v>5.0600000000000005</v>
      </c>
      <c r="V4" s="130">
        <f>+D4+J4+N4+R4</f>
        <v>84.37</v>
      </c>
      <c r="W4" s="130">
        <f>+E4+K4+O4+S4</f>
        <v>57.68</v>
      </c>
      <c r="X4" s="130">
        <f>+H4+L4+P4+T4</f>
        <v>99.740000000000009</v>
      </c>
      <c r="Y4" s="130">
        <f>+I4+M4+Q4+U4</f>
        <v>10.97</v>
      </c>
    </row>
    <row r="5" spans="1:25" ht="39.75" customHeight="1" x14ac:dyDescent="0.3">
      <c r="A5" s="16" t="s">
        <v>203</v>
      </c>
      <c r="B5" s="89">
        <v>103.75</v>
      </c>
      <c r="C5" s="89">
        <v>85.5</v>
      </c>
      <c r="D5" s="89">
        <f t="shared" ref="D5:D15" si="0">ROUND(B5/4,2)</f>
        <v>25.94</v>
      </c>
      <c r="E5" s="89">
        <f t="shared" ref="E5:E15" si="1">ROUND(C5*0.15,2)</f>
        <v>12.83</v>
      </c>
      <c r="F5" s="89">
        <v>205</v>
      </c>
      <c r="G5" s="89">
        <v>29.05</v>
      </c>
      <c r="H5" s="89">
        <f t="shared" ref="H5:H15" si="2">ROUND(F5*25%,2)</f>
        <v>51.25</v>
      </c>
      <c r="I5" s="89">
        <f>ROUND(G5*0.15,2)</f>
        <v>4.3600000000000003</v>
      </c>
      <c r="J5" s="89">
        <f t="shared" ref="J5:J15" si="3">ROUND(B5*20.03%,2)</f>
        <v>20.78</v>
      </c>
      <c r="K5" s="89">
        <f>ROUND(C5*7.19%,2)-0.01</f>
        <v>6.1400000000000006</v>
      </c>
      <c r="L5" s="89">
        <f t="shared" ref="L5:L15" si="4">ROUND(F5*20.03%,2)</f>
        <v>41.06</v>
      </c>
      <c r="M5" s="89">
        <f t="shared" ref="M5:M15" si="5">ROUND(G5*7.19%,2)</f>
        <v>2.09</v>
      </c>
      <c r="N5">
        <f>ROUND(B5*4.97%,2)</f>
        <v>5.16</v>
      </c>
      <c r="O5">
        <f>ROUND(C5*10.65%,2)</f>
        <v>9.11</v>
      </c>
      <c r="P5">
        <f t="shared" ref="P5:P15" si="6">ROUND(F5*4.97%,2)</f>
        <v>10.19</v>
      </c>
      <c r="Q5">
        <f>ROUND(G5*10.65%,2)</f>
        <v>3.09</v>
      </c>
      <c r="R5">
        <f t="shared" ref="R5:R7" si="7">ROUND(B5*25%,2)-0.01</f>
        <v>25.93</v>
      </c>
      <c r="S5">
        <f t="shared" ref="S5:S15" si="8">ROUND(C5*28.15%,2)</f>
        <v>24.07</v>
      </c>
      <c r="T5">
        <f t="shared" ref="T5:T15" si="9">ROUND(F5*25%,2)</f>
        <v>51.25</v>
      </c>
      <c r="U5">
        <f>ROUND(G5*28.15%,2)-0.01</f>
        <v>8.17</v>
      </c>
      <c r="V5" s="130">
        <f t="shared" ref="V5:V15" si="10">+D5+J5+N5+R5</f>
        <v>77.81</v>
      </c>
      <c r="W5" s="130">
        <f t="shared" ref="W5:W15" si="11">+E5+K5+O5+S5</f>
        <v>52.15</v>
      </c>
      <c r="X5" s="130">
        <f t="shared" ref="X5:X15" si="12">+H5+L5+P5+T5</f>
        <v>153.75</v>
      </c>
      <c r="Y5" s="130">
        <f t="shared" ref="Y5:Y15" si="13">+I5+M5+Q5+U5</f>
        <v>17.71</v>
      </c>
    </row>
    <row r="6" spans="1:25" ht="34.5" customHeight="1" x14ac:dyDescent="0.3">
      <c r="A6" s="16" t="s">
        <v>204</v>
      </c>
      <c r="B6" s="89">
        <v>112.5</v>
      </c>
      <c r="C6" s="89">
        <v>94.6</v>
      </c>
      <c r="D6" s="89">
        <f t="shared" si="0"/>
        <v>28.13</v>
      </c>
      <c r="E6" s="89">
        <f>ROUND(C6*0.15,2)-0.01</f>
        <v>14.18</v>
      </c>
      <c r="F6" s="89">
        <v>135.75</v>
      </c>
      <c r="G6" s="89">
        <v>13.2</v>
      </c>
      <c r="H6" s="89">
        <f t="shared" si="2"/>
        <v>33.94</v>
      </c>
      <c r="I6" s="89">
        <f t="shared" ref="I6:I15" si="14">ROUND(G6*0.15,2)</f>
        <v>1.98</v>
      </c>
      <c r="J6" s="89">
        <f t="shared" si="3"/>
        <v>22.53</v>
      </c>
      <c r="K6" s="89">
        <f t="shared" ref="K6:K15" si="15">ROUND(C6*7.19%,2)</f>
        <v>6.8</v>
      </c>
      <c r="L6" s="89">
        <f t="shared" si="4"/>
        <v>27.19</v>
      </c>
      <c r="M6" s="89">
        <f t="shared" si="5"/>
        <v>0.95</v>
      </c>
      <c r="N6">
        <f>ROUND(B6*4.97%,2)</f>
        <v>5.59</v>
      </c>
      <c r="O6">
        <f>ROUND(C6*10.65%,2)</f>
        <v>10.07</v>
      </c>
      <c r="P6">
        <f t="shared" si="6"/>
        <v>6.75</v>
      </c>
      <c r="Q6">
        <f t="shared" ref="Q6:Q15" si="16">ROUND(G6*10.65%,2)</f>
        <v>1.41</v>
      </c>
      <c r="R6">
        <f t="shared" si="7"/>
        <v>28.119999999999997</v>
      </c>
      <c r="S6">
        <f t="shared" si="8"/>
        <v>26.63</v>
      </c>
      <c r="T6">
        <f t="shared" si="9"/>
        <v>33.94</v>
      </c>
      <c r="U6">
        <f t="shared" ref="U6:U15" si="17">ROUND(G6*28.15%,2)</f>
        <v>3.72</v>
      </c>
      <c r="V6" s="130">
        <f t="shared" si="10"/>
        <v>84.37</v>
      </c>
      <c r="W6" s="130">
        <f t="shared" si="11"/>
        <v>57.68</v>
      </c>
      <c r="X6" s="130">
        <f t="shared" si="12"/>
        <v>101.82</v>
      </c>
      <c r="Y6" s="130">
        <f t="shared" si="13"/>
        <v>8.06</v>
      </c>
    </row>
    <row r="7" spans="1:25" ht="42.75" customHeight="1" x14ac:dyDescent="0.3">
      <c r="A7" s="16" t="s">
        <v>205</v>
      </c>
      <c r="B7" s="89">
        <v>112.5</v>
      </c>
      <c r="C7" s="89">
        <v>93.6</v>
      </c>
      <c r="D7" s="89">
        <f t="shared" si="0"/>
        <v>28.13</v>
      </c>
      <c r="E7" s="89">
        <f t="shared" si="1"/>
        <v>14.04</v>
      </c>
      <c r="F7" s="89">
        <v>79.25</v>
      </c>
      <c r="G7" s="89">
        <v>19</v>
      </c>
      <c r="H7" s="89">
        <f t="shared" si="2"/>
        <v>19.809999999999999</v>
      </c>
      <c r="I7" s="89">
        <f t="shared" si="14"/>
        <v>2.85</v>
      </c>
      <c r="J7" s="89">
        <f t="shared" si="3"/>
        <v>22.53</v>
      </c>
      <c r="K7" s="89">
        <f t="shared" si="15"/>
        <v>6.73</v>
      </c>
      <c r="L7" s="89">
        <f t="shared" si="4"/>
        <v>15.87</v>
      </c>
      <c r="M7" s="89">
        <f t="shared" si="5"/>
        <v>1.37</v>
      </c>
      <c r="N7">
        <f>ROUND(B7*4.97%,2)</f>
        <v>5.59</v>
      </c>
      <c r="O7">
        <f t="shared" ref="O7:O15" si="18">ROUND(C7*10.65%,2)</f>
        <v>9.9700000000000006</v>
      </c>
      <c r="P7">
        <f t="shared" si="6"/>
        <v>3.94</v>
      </c>
      <c r="Q7">
        <f t="shared" si="16"/>
        <v>2.02</v>
      </c>
      <c r="R7">
        <f t="shared" si="7"/>
        <v>28.119999999999997</v>
      </c>
      <c r="S7">
        <f t="shared" si="8"/>
        <v>26.35</v>
      </c>
      <c r="T7">
        <f t="shared" si="9"/>
        <v>19.809999999999999</v>
      </c>
      <c r="U7">
        <f t="shared" si="17"/>
        <v>5.35</v>
      </c>
      <c r="V7" s="130">
        <f t="shared" si="10"/>
        <v>84.37</v>
      </c>
      <c r="W7" s="130">
        <f t="shared" si="11"/>
        <v>57.09</v>
      </c>
      <c r="X7" s="130">
        <f t="shared" si="12"/>
        <v>59.429999999999993</v>
      </c>
      <c r="Y7" s="130">
        <f t="shared" si="13"/>
        <v>11.59</v>
      </c>
    </row>
    <row r="8" spans="1:25" ht="39.75" customHeight="1" x14ac:dyDescent="0.3">
      <c r="A8" s="16" t="s">
        <v>206</v>
      </c>
      <c r="B8" s="89">
        <v>103.75</v>
      </c>
      <c r="C8" s="89">
        <v>95.5</v>
      </c>
      <c r="D8" s="89">
        <f t="shared" si="0"/>
        <v>25.94</v>
      </c>
      <c r="E8" s="89">
        <f t="shared" si="1"/>
        <v>14.33</v>
      </c>
      <c r="F8" s="89">
        <v>76.75</v>
      </c>
      <c r="G8" s="89">
        <v>11</v>
      </c>
      <c r="H8" s="89">
        <f t="shared" si="2"/>
        <v>19.190000000000001</v>
      </c>
      <c r="I8" s="89">
        <f t="shared" si="14"/>
        <v>1.65</v>
      </c>
      <c r="J8" s="89">
        <f t="shared" si="3"/>
        <v>20.78</v>
      </c>
      <c r="K8" s="89">
        <f t="shared" si="15"/>
        <v>6.87</v>
      </c>
      <c r="L8" s="89">
        <f t="shared" si="4"/>
        <v>15.37</v>
      </c>
      <c r="M8" s="89">
        <f>ROUND(G8*7.19%,2)-0.01</f>
        <v>0.78</v>
      </c>
      <c r="N8">
        <f t="shared" ref="N8:N15" si="19">ROUND(B8*4.97%,2)</f>
        <v>5.16</v>
      </c>
      <c r="O8">
        <f t="shared" si="18"/>
        <v>10.17</v>
      </c>
      <c r="P8">
        <f t="shared" si="6"/>
        <v>3.81</v>
      </c>
      <c r="Q8">
        <f t="shared" si="16"/>
        <v>1.17</v>
      </c>
      <c r="R8">
        <f t="shared" ref="R8:R15" si="20">ROUND(B8*25%,2)</f>
        <v>25.94</v>
      </c>
      <c r="S8">
        <f t="shared" si="8"/>
        <v>26.88</v>
      </c>
      <c r="T8">
        <f t="shared" si="9"/>
        <v>19.190000000000001</v>
      </c>
      <c r="U8">
        <f t="shared" si="17"/>
        <v>3.1</v>
      </c>
      <c r="V8" s="130">
        <f t="shared" si="10"/>
        <v>77.819999999999993</v>
      </c>
      <c r="W8" s="130">
        <f t="shared" si="11"/>
        <v>58.25</v>
      </c>
      <c r="X8" s="130">
        <f t="shared" si="12"/>
        <v>57.56</v>
      </c>
      <c r="Y8" s="130">
        <f t="shared" si="13"/>
        <v>6.6999999999999993</v>
      </c>
    </row>
    <row r="9" spans="1:25" ht="42.75" customHeight="1" x14ac:dyDescent="0.3">
      <c r="A9" s="24" t="s">
        <v>207</v>
      </c>
      <c r="B9" s="89">
        <v>68.75</v>
      </c>
      <c r="C9" s="89">
        <v>52.9</v>
      </c>
      <c r="D9" s="89">
        <f t="shared" si="0"/>
        <v>17.190000000000001</v>
      </c>
      <c r="E9" s="89">
        <f t="shared" si="1"/>
        <v>7.94</v>
      </c>
      <c r="F9" s="89">
        <v>28</v>
      </c>
      <c r="G9" s="89">
        <v>0</v>
      </c>
      <c r="H9" s="89">
        <f t="shared" si="2"/>
        <v>7</v>
      </c>
      <c r="I9" s="89">
        <f t="shared" si="14"/>
        <v>0</v>
      </c>
      <c r="J9" s="89">
        <f>ROUND(B9*20.03%,2)+0.02</f>
        <v>13.79</v>
      </c>
      <c r="K9" s="89">
        <f t="shared" si="15"/>
        <v>3.8</v>
      </c>
      <c r="L9" s="89">
        <f t="shared" si="4"/>
        <v>5.61</v>
      </c>
      <c r="M9" s="89">
        <f t="shared" si="5"/>
        <v>0</v>
      </c>
      <c r="N9">
        <f t="shared" si="19"/>
        <v>3.42</v>
      </c>
      <c r="O9">
        <f t="shared" si="18"/>
        <v>5.63</v>
      </c>
      <c r="P9">
        <f t="shared" si="6"/>
        <v>1.39</v>
      </c>
      <c r="Q9">
        <f t="shared" si="16"/>
        <v>0</v>
      </c>
      <c r="R9">
        <f t="shared" si="20"/>
        <v>17.190000000000001</v>
      </c>
      <c r="S9">
        <f t="shared" si="8"/>
        <v>14.89</v>
      </c>
      <c r="T9">
        <f t="shared" si="9"/>
        <v>7</v>
      </c>
      <c r="U9">
        <f t="shared" si="17"/>
        <v>0</v>
      </c>
      <c r="V9" s="130">
        <f t="shared" si="10"/>
        <v>51.59</v>
      </c>
      <c r="W9" s="130">
        <f t="shared" si="11"/>
        <v>32.260000000000005</v>
      </c>
      <c r="X9" s="130">
        <f t="shared" si="12"/>
        <v>21</v>
      </c>
      <c r="Y9" s="130">
        <f t="shared" si="13"/>
        <v>0</v>
      </c>
    </row>
    <row r="10" spans="1:25" ht="39" customHeight="1" x14ac:dyDescent="0.3">
      <c r="A10" s="16" t="s">
        <v>208</v>
      </c>
      <c r="B10" s="89">
        <v>77.5</v>
      </c>
      <c r="C10" s="89">
        <v>61</v>
      </c>
      <c r="D10" s="89">
        <f t="shared" si="0"/>
        <v>19.38</v>
      </c>
      <c r="E10" s="89">
        <f t="shared" si="1"/>
        <v>9.15</v>
      </c>
      <c r="F10" s="89">
        <v>42.25</v>
      </c>
      <c r="G10" s="89">
        <v>7</v>
      </c>
      <c r="H10" s="89">
        <f t="shared" si="2"/>
        <v>10.56</v>
      </c>
      <c r="I10" s="89">
        <f t="shared" si="14"/>
        <v>1.05</v>
      </c>
      <c r="J10" s="89">
        <f t="shared" si="3"/>
        <v>15.52</v>
      </c>
      <c r="K10" s="89">
        <f t="shared" si="15"/>
        <v>4.3899999999999997</v>
      </c>
      <c r="L10" s="89">
        <f t="shared" si="4"/>
        <v>8.4600000000000009</v>
      </c>
      <c r="M10" s="89">
        <f t="shared" si="5"/>
        <v>0.5</v>
      </c>
      <c r="N10">
        <f t="shared" si="19"/>
        <v>3.85</v>
      </c>
      <c r="O10">
        <f t="shared" si="18"/>
        <v>6.5</v>
      </c>
      <c r="P10">
        <f t="shared" si="6"/>
        <v>2.1</v>
      </c>
      <c r="Q10">
        <f t="shared" si="16"/>
        <v>0.75</v>
      </c>
      <c r="R10">
        <f t="shared" si="20"/>
        <v>19.38</v>
      </c>
      <c r="S10">
        <f t="shared" si="8"/>
        <v>17.170000000000002</v>
      </c>
      <c r="T10">
        <f t="shared" si="9"/>
        <v>10.56</v>
      </c>
      <c r="U10">
        <f t="shared" si="17"/>
        <v>1.97</v>
      </c>
      <c r="V10" s="130">
        <f t="shared" si="10"/>
        <v>58.129999999999995</v>
      </c>
      <c r="W10" s="130">
        <f t="shared" si="11"/>
        <v>37.21</v>
      </c>
      <c r="X10" s="130">
        <f t="shared" si="12"/>
        <v>31.680000000000007</v>
      </c>
      <c r="Y10" s="130">
        <f t="shared" si="13"/>
        <v>4.2699999999999996</v>
      </c>
    </row>
    <row r="11" spans="1:25" ht="34.5" customHeight="1" x14ac:dyDescent="0.3">
      <c r="A11" s="16" t="s">
        <v>209</v>
      </c>
      <c r="B11" s="89">
        <v>121.25</v>
      </c>
      <c r="C11" s="89">
        <v>101.8</v>
      </c>
      <c r="D11" s="89">
        <f>ROUND(B11/4,2)-0.01</f>
        <v>30.299999999999997</v>
      </c>
      <c r="E11" s="89">
        <f t="shared" si="1"/>
        <v>15.27</v>
      </c>
      <c r="F11" s="89">
        <v>61.5</v>
      </c>
      <c r="G11" s="89">
        <v>0</v>
      </c>
      <c r="H11" s="89">
        <f t="shared" si="2"/>
        <v>15.38</v>
      </c>
      <c r="I11" s="89">
        <f t="shared" si="14"/>
        <v>0</v>
      </c>
      <c r="J11" s="89">
        <f t="shared" si="3"/>
        <v>24.29</v>
      </c>
      <c r="K11" s="89">
        <f t="shared" si="15"/>
        <v>7.32</v>
      </c>
      <c r="L11" s="89">
        <f t="shared" si="4"/>
        <v>12.32</v>
      </c>
      <c r="M11" s="89">
        <f t="shared" si="5"/>
        <v>0</v>
      </c>
      <c r="N11">
        <f t="shared" si="19"/>
        <v>6.03</v>
      </c>
      <c r="O11">
        <f t="shared" si="18"/>
        <v>10.84</v>
      </c>
      <c r="P11">
        <f t="shared" si="6"/>
        <v>3.06</v>
      </c>
      <c r="Q11">
        <f t="shared" si="16"/>
        <v>0</v>
      </c>
      <c r="R11">
        <f t="shared" si="20"/>
        <v>30.31</v>
      </c>
      <c r="S11">
        <f t="shared" si="8"/>
        <v>28.66</v>
      </c>
      <c r="T11">
        <f t="shared" si="9"/>
        <v>15.38</v>
      </c>
      <c r="U11">
        <f t="shared" si="17"/>
        <v>0</v>
      </c>
      <c r="V11" s="130">
        <f t="shared" si="10"/>
        <v>90.929999999999993</v>
      </c>
      <c r="W11" s="130">
        <f t="shared" si="11"/>
        <v>62.09</v>
      </c>
      <c r="X11" s="130">
        <f t="shared" si="12"/>
        <v>46.14</v>
      </c>
      <c r="Y11" s="130">
        <f t="shared" si="13"/>
        <v>0</v>
      </c>
    </row>
    <row r="12" spans="1:25" ht="36.75" customHeight="1" x14ac:dyDescent="0.3">
      <c r="A12" s="16" t="s">
        <v>210</v>
      </c>
      <c r="B12" s="89">
        <v>112.5</v>
      </c>
      <c r="C12" s="89">
        <v>95.7</v>
      </c>
      <c r="D12" s="89">
        <f>ROUND(B12/4,2)-0.01</f>
        <v>28.119999999999997</v>
      </c>
      <c r="E12" s="89">
        <f t="shared" si="1"/>
        <v>14.36</v>
      </c>
      <c r="F12" s="89">
        <v>138.5</v>
      </c>
      <c r="G12" s="89">
        <v>30.75</v>
      </c>
      <c r="H12" s="89">
        <f>ROUND(F12*25%,2)-0.01</f>
        <v>34.620000000000005</v>
      </c>
      <c r="I12" s="89">
        <f t="shared" si="14"/>
        <v>4.6100000000000003</v>
      </c>
      <c r="J12" s="89">
        <f t="shared" si="3"/>
        <v>22.53</v>
      </c>
      <c r="K12" s="89">
        <f t="shared" si="15"/>
        <v>6.88</v>
      </c>
      <c r="L12" s="89">
        <f t="shared" si="4"/>
        <v>27.74</v>
      </c>
      <c r="M12" s="89">
        <f t="shared" si="5"/>
        <v>2.21</v>
      </c>
      <c r="N12">
        <f t="shared" si="19"/>
        <v>5.59</v>
      </c>
      <c r="O12">
        <f t="shared" si="18"/>
        <v>10.19</v>
      </c>
      <c r="P12">
        <f t="shared" si="6"/>
        <v>6.88</v>
      </c>
      <c r="Q12">
        <f t="shared" si="16"/>
        <v>3.27</v>
      </c>
      <c r="R12">
        <f t="shared" si="20"/>
        <v>28.13</v>
      </c>
      <c r="S12">
        <f t="shared" si="8"/>
        <v>26.94</v>
      </c>
      <c r="T12">
        <f t="shared" si="9"/>
        <v>34.630000000000003</v>
      </c>
      <c r="U12">
        <f t="shared" si="17"/>
        <v>8.66</v>
      </c>
      <c r="V12" s="130">
        <f t="shared" si="10"/>
        <v>84.36999999999999</v>
      </c>
      <c r="W12" s="130">
        <f t="shared" si="11"/>
        <v>58.370000000000005</v>
      </c>
      <c r="X12" s="130">
        <f t="shared" si="12"/>
        <v>103.87</v>
      </c>
      <c r="Y12" s="130">
        <f t="shared" si="13"/>
        <v>18.75</v>
      </c>
    </row>
    <row r="13" spans="1:25" ht="42" customHeight="1" x14ac:dyDescent="0.3">
      <c r="A13" s="16" t="s">
        <v>211</v>
      </c>
      <c r="B13" s="89">
        <v>112.5</v>
      </c>
      <c r="C13" s="89">
        <v>94.8</v>
      </c>
      <c r="D13" s="89">
        <f>ROUND(B13/4,2)-0.01</f>
        <v>28.119999999999997</v>
      </c>
      <c r="E13" s="89">
        <f t="shared" si="1"/>
        <v>14.22</v>
      </c>
      <c r="F13" s="89">
        <v>97</v>
      </c>
      <c r="G13" s="89">
        <v>41.5</v>
      </c>
      <c r="H13" s="89">
        <f t="shared" si="2"/>
        <v>24.25</v>
      </c>
      <c r="I13" s="89">
        <f>ROUND(G13*0.15,2)-0.01</f>
        <v>6.2200000000000006</v>
      </c>
      <c r="J13" s="89">
        <f t="shared" si="3"/>
        <v>22.53</v>
      </c>
      <c r="K13" s="89">
        <f t="shared" si="15"/>
        <v>6.82</v>
      </c>
      <c r="L13" s="89">
        <f t="shared" si="4"/>
        <v>19.43</v>
      </c>
      <c r="M13" s="89">
        <f t="shared" si="5"/>
        <v>2.98</v>
      </c>
      <c r="N13">
        <f t="shared" si="19"/>
        <v>5.59</v>
      </c>
      <c r="O13">
        <f t="shared" si="18"/>
        <v>10.1</v>
      </c>
      <c r="P13">
        <f t="shared" si="6"/>
        <v>4.82</v>
      </c>
      <c r="Q13">
        <f t="shared" si="16"/>
        <v>4.42</v>
      </c>
      <c r="R13">
        <f t="shared" si="20"/>
        <v>28.13</v>
      </c>
      <c r="S13">
        <f t="shared" si="8"/>
        <v>26.69</v>
      </c>
      <c r="T13">
        <f t="shared" si="9"/>
        <v>24.25</v>
      </c>
      <c r="U13">
        <f t="shared" si="17"/>
        <v>11.68</v>
      </c>
      <c r="V13" s="130">
        <f t="shared" si="10"/>
        <v>84.36999999999999</v>
      </c>
      <c r="W13" s="130">
        <f t="shared" si="11"/>
        <v>57.83</v>
      </c>
      <c r="X13" s="130">
        <f t="shared" si="12"/>
        <v>72.75</v>
      </c>
      <c r="Y13" s="130">
        <f t="shared" si="13"/>
        <v>25.3</v>
      </c>
    </row>
    <row r="14" spans="1:25" ht="39.75" customHeight="1" x14ac:dyDescent="0.3">
      <c r="A14" s="16" t="s">
        <v>212</v>
      </c>
      <c r="B14" s="89">
        <v>77.5</v>
      </c>
      <c r="C14" s="89">
        <v>61</v>
      </c>
      <c r="D14" s="89">
        <f>ROUND(B14/4,2)-0.01</f>
        <v>19.369999999999997</v>
      </c>
      <c r="E14" s="89">
        <f t="shared" si="1"/>
        <v>9.15</v>
      </c>
      <c r="F14" s="89">
        <v>61</v>
      </c>
      <c r="G14" s="89">
        <v>6.5</v>
      </c>
      <c r="H14" s="89">
        <f t="shared" si="2"/>
        <v>15.25</v>
      </c>
      <c r="I14" s="89">
        <f t="shared" si="14"/>
        <v>0.98</v>
      </c>
      <c r="J14" s="89">
        <f t="shared" si="3"/>
        <v>15.52</v>
      </c>
      <c r="K14" s="89">
        <f t="shared" si="15"/>
        <v>4.3899999999999997</v>
      </c>
      <c r="L14" s="89">
        <f>ROUND(F14*20.03%,2)+0.01</f>
        <v>12.23</v>
      </c>
      <c r="M14" s="89">
        <f t="shared" si="5"/>
        <v>0.47</v>
      </c>
      <c r="N14">
        <f t="shared" si="19"/>
        <v>3.85</v>
      </c>
      <c r="O14">
        <f t="shared" si="18"/>
        <v>6.5</v>
      </c>
      <c r="P14">
        <f t="shared" si="6"/>
        <v>3.03</v>
      </c>
      <c r="Q14">
        <f t="shared" si="16"/>
        <v>0.69</v>
      </c>
      <c r="R14">
        <f t="shared" si="20"/>
        <v>19.38</v>
      </c>
      <c r="S14">
        <f t="shared" si="8"/>
        <v>17.170000000000002</v>
      </c>
      <c r="T14">
        <f t="shared" si="9"/>
        <v>15.25</v>
      </c>
      <c r="U14">
        <f t="shared" si="17"/>
        <v>1.83</v>
      </c>
      <c r="V14" s="130">
        <f t="shared" si="10"/>
        <v>58.120000000000005</v>
      </c>
      <c r="W14" s="130">
        <f t="shared" si="11"/>
        <v>37.21</v>
      </c>
      <c r="X14" s="130">
        <f t="shared" si="12"/>
        <v>45.760000000000005</v>
      </c>
      <c r="Y14" s="130">
        <f t="shared" si="13"/>
        <v>3.9699999999999998</v>
      </c>
    </row>
    <row r="15" spans="1:25" ht="30" customHeight="1" x14ac:dyDescent="0.3">
      <c r="A15" s="90" t="s">
        <v>241</v>
      </c>
      <c r="B15" s="89">
        <v>26</v>
      </c>
      <c r="C15" s="89">
        <v>0</v>
      </c>
      <c r="D15" s="89">
        <f t="shared" si="0"/>
        <v>6.5</v>
      </c>
      <c r="E15" s="89">
        <f t="shared" si="1"/>
        <v>0</v>
      </c>
      <c r="H15" s="89">
        <f t="shared" si="2"/>
        <v>0</v>
      </c>
      <c r="I15" s="89">
        <f t="shared" si="14"/>
        <v>0</v>
      </c>
      <c r="J15" s="89">
        <f t="shared" si="3"/>
        <v>5.21</v>
      </c>
      <c r="K15" s="89">
        <f t="shared" si="15"/>
        <v>0</v>
      </c>
      <c r="L15" s="89">
        <f t="shared" si="4"/>
        <v>0</v>
      </c>
      <c r="M15" s="89">
        <f t="shared" si="5"/>
        <v>0</v>
      </c>
      <c r="N15">
        <f t="shared" si="19"/>
        <v>1.29</v>
      </c>
      <c r="O15">
        <f t="shared" si="18"/>
        <v>0</v>
      </c>
      <c r="P15">
        <f t="shared" si="6"/>
        <v>0</v>
      </c>
      <c r="Q15">
        <f t="shared" si="16"/>
        <v>0</v>
      </c>
      <c r="R15">
        <f t="shared" si="20"/>
        <v>6.5</v>
      </c>
      <c r="S15">
        <f t="shared" si="8"/>
        <v>0</v>
      </c>
      <c r="T15">
        <f t="shared" si="9"/>
        <v>0</v>
      </c>
      <c r="U15">
        <f t="shared" si="17"/>
        <v>0</v>
      </c>
      <c r="V15" s="130">
        <f t="shared" si="10"/>
        <v>19.5</v>
      </c>
      <c r="W15" s="130">
        <f t="shared" si="11"/>
        <v>0</v>
      </c>
      <c r="X15" s="130">
        <f t="shared" si="12"/>
        <v>0</v>
      </c>
      <c r="Y15" s="130">
        <f t="shared" si="13"/>
        <v>0</v>
      </c>
    </row>
    <row r="16" spans="1:25" s="93" customFormat="1" ht="18" x14ac:dyDescent="0.35">
      <c r="A16" s="91" t="s">
        <v>254</v>
      </c>
      <c r="B16" s="92">
        <f>SUM(B4:B15)</f>
        <v>1141</v>
      </c>
      <c r="C16" s="92">
        <f t="shared" ref="C16:H16" si="21">SUM(C4:C15)</f>
        <v>930.99999999999989</v>
      </c>
      <c r="D16" s="92">
        <f t="shared" si="21"/>
        <v>285.25</v>
      </c>
      <c r="E16" s="92">
        <f t="shared" si="21"/>
        <v>139.65</v>
      </c>
      <c r="F16" s="92">
        <f t="shared" si="21"/>
        <v>1058</v>
      </c>
      <c r="G16" s="92">
        <f t="shared" si="21"/>
        <v>176</v>
      </c>
      <c r="H16" s="92">
        <f t="shared" si="21"/>
        <v>264.5</v>
      </c>
      <c r="I16" s="92">
        <f>SUM(I4:I15)</f>
        <v>26.400000000000002</v>
      </c>
      <c r="J16" s="92">
        <f t="shared" ref="J16" si="22">SUM(J4:J15)</f>
        <v>228.54000000000002</v>
      </c>
      <c r="K16" s="92">
        <f t="shared" ref="K16" si="23">SUM(K4:K15)</f>
        <v>66.94</v>
      </c>
      <c r="L16" s="92">
        <f t="shared" ref="L16" si="24">SUM(L4:L15)</f>
        <v>211.92000000000002</v>
      </c>
      <c r="M16" s="92">
        <f t="shared" ref="M16:Y16" si="25">SUM(M4:M15)</f>
        <v>12.640000000000002</v>
      </c>
      <c r="N16" s="92">
        <f t="shared" si="25"/>
        <v>56.710000000000008</v>
      </c>
      <c r="O16" s="92">
        <f t="shared" si="25"/>
        <v>99.149999999999991</v>
      </c>
      <c r="P16" s="92">
        <f t="shared" si="25"/>
        <v>52.580000000000005</v>
      </c>
      <c r="Q16" s="92">
        <f t="shared" si="25"/>
        <v>18.739999999999998</v>
      </c>
      <c r="R16" s="92">
        <f t="shared" si="25"/>
        <v>285.25</v>
      </c>
      <c r="S16" s="92">
        <f t="shared" si="25"/>
        <v>262.08</v>
      </c>
      <c r="T16" s="92">
        <f t="shared" si="25"/>
        <v>264.5</v>
      </c>
      <c r="U16" s="92">
        <f t="shared" si="25"/>
        <v>49.54</v>
      </c>
      <c r="V16" s="92">
        <f t="shared" si="25"/>
        <v>855.75</v>
      </c>
      <c r="W16" s="92">
        <f t="shared" si="25"/>
        <v>567.82000000000005</v>
      </c>
      <c r="X16" s="92">
        <f t="shared" si="25"/>
        <v>793.5</v>
      </c>
      <c r="Y16" s="92">
        <f t="shared" si="25"/>
        <v>107.32</v>
      </c>
    </row>
  </sheetData>
  <mergeCells count="9">
    <mergeCell ref="V2:W2"/>
    <mergeCell ref="X2:Y2"/>
    <mergeCell ref="D2:E2"/>
    <mergeCell ref="F2:G2"/>
    <mergeCell ref="H2:I2"/>
    <mergeCell ref="J2:M2"/>
    <mergeCell ref="R2:U2"/>
    <mergeCell ref="N2:O2"/>
    <mergeCell ref="P2:Q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PROG REL DEC</vt:lpstr>
      <vt:lpstr>ARYA FFP PROG.</vt:lpstr>
      <vt:lpstr>'PROG REL DEC'!Print_Area</vt:lpstr>
      <vt:lpstr>'PROG REL DEC'!Print_Titles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</dc:creator>
  <cp:lastModifiedBy>Surbhi</cp:lastModifiedBy>
  <cp:lastPrinted>2019-05-07T09:23:36Z</cp:lastPrinted>
  <dcterms:created xsi:type="dcterms:W3CDTF">2016-12-29T07:23:24Z</dcterms:created>
  <dcterms:modified xsi:type="dcterms:W3CDTF">2022-01-05T05:52:14Z</dcterms:modified>
</cp:coreProperties>
</file>